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tables/table5.xml" ContentType="application/vnd.openxmlformats-officedocument.spreadsheetml.table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nfo\Documents\Progetti\PietroniTecnologie\contenuti\impresa-numerica\excel\"/>
    </mc:Choice>
  </mc:AlternateContent>
  <xr:revisionPtr revIDLastSave="0" documentId="13_ncr:1_{B9B57C30-49E8-471C-8279-911979DDA596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uida" sheetId="1" r:id="rId1"/>
    <sheet name="Parametri" sheetId="2" r:id="rId2"/>
    <sheet name="WBS e Stima Costi" sheetId="3" r:id="rId3"/>
    <sheet name="Monitoraggio EVM" sheetId="4" r:id="rId4"/>
    <sheet name="Buffer e Contingency" sheetId="5" r:id="rId5"/>
    <sheet name="Agile - Velocity" sheetId="6" r:id="rId6"/>
    <sheet name="Dashboard" sheetId="7" r:id="rId7"/>
    <sheet name="Glossario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5" i="7" l="1"/>
  <c r="B8" i="7"/>
  <c r="B20" i="7" s="1"/>
  <c r="B25" i="6"/>
  <c r="B27" i="6" s="1"/>
  <c r="Q20" i="6"/>
  <c r="P20" i="6"/>
  <c r="O20" i="6"/>
  <c r="M20" i="6"/>
  <c r="K20" i="6"/>
  <c r="J20" i="6"/>
  <c r="I20" i="6"/>
  <c r="H20" i="6"/>
  <c r="G20" i="6"/>
  <c r="F20" i="6"/>
  <c r="Q19" i="6"/>
  <c r="P19" i="6"/>
  <c r="O19" i="6"/>
  <c r="M19" i="6"/>
  <c r="K19" i="6"/>
  <c r="J19" i="6"/>
  <c r="I19" i="6"/>
  <c r="H19" i="6"/>
  <c r="G19" i="6"/>
  <c r="F19" i="6"/>
  <c r="Q18" i="6"/>
  <c r="P18" i="6"/>
  <c r="O18" i="6"/>
  <c r="M18" i="6"/>
  <c r="K18" i="6"/>
  <c r="J18" i="6"/>
  <c r="I18" i="6"/>
  <c r="H18" i="6"/>
  <c r="G18" i="6"/>
  <c r="F18" i="6"/>
  <c r="Q17" i="6"/>
  <c r="P17" i="6"/>
  <c r="O17" i="6"/>
  <c r="M17" i="6"/>
  <c r="K17" i="6"/>
  <c r="J17" i="6"/>
  <c r="I17" i="6"/>
  <c r="H17" i="6"/>
  <c r="G17" i="6"/>
  <c r="F17" i="6"/>
  <c r="Q16" i="6"/>
  <c r="P16" i="6"/>
  <c r="O16" i="6"/>
  <c r="M16" i="6"/>
  <c r="K16" i="6"/>
  <c r="J16" i="6"/>
  <c r="I16" i="6"/>
  <c r="H16" i="6"/>
  <c r="G16" i="6"/>
  <c r="F16" i="6"/>
  <c r="Q15" i="6"/>
  <c r="P15" i="6"/>
  <c r="O15" i="6"/>
  <c r="M15" i="6"/>
  <c r="K15" i="6"/>
  <c r="J15" i="6"/>
  <c r="I15" i="6"/>
  <c r="H15" i="6"/>
  <c r="G15" i="6"/>
  <c r="F15" i="6"/>
  <c r="Q14" i="6"/>
  <c r="P14" i="6"/>
  <c r="O14" i="6"/>
  <c r="M14" i="6"/>
  <c r="K14" i="6"/>
  <c r="J14" i="6"/>
  <c r="I14" i="6"/>
  <c r="H14" i="6"/>
  <c r="G14" i="6"/>
  <c r="F14" i="6"/>
  <c r="Q13" i="6"/>
  <c r="P13" i="6"/>
  <c r="O13" i="6"/>
  <c r="M13" i="6"/>
  <c r="K13" i="6"/>
  <c r="J13" i="6"/>
  <c r="I13" i="6"/>
  <c r="H13" i="6"/>
  <c r="G13" i="6"/>
  <c r="F13" i="6"/>
  <c r="Q12" i="6"/>
  <c r="P12" i="6"/>
  <c r="O12" i="6"/>
  <c r="M12" i="6"/>
  <c r="K12" i="6"/>
  <c r="J12" i="6"/>
  <c r="I12" i="6"/>
  <c r="H12" i="6"/>
  <c r="G12" i="6"/>
  <c r="F12" i="6"/>
  <c r="Q11" i="6"/>
  <c r="P11" i="6"/>
  <c r="O11" i="6"/>
  <c r="M11" i="6"/>
  <c r="K11" i="6"/>
  <c r="J11" i="6"/>
  <c r="I11" i="6"/>
  <c r="H11" i="6"/>
  <c r="G11" i="6"/>
  <c r="F11" i="6"/>
  <c r="Q10" i="6"/>
  <c r="P10" i="6"/>
  <c r="O10" i="6"/>
  <c r="M10" i="6"/>
  <c r="K10" i="6"/>
  <c r="J10" i="6"/>
  <c r="I10" i="6"/>
  <c r="H10" i="6"/>
  <c r="G10" i="6"/>
  <c r="F10" i="6"/>
  <c r="Q9" i="6"/>
  <c r="P9" i="6"/>
  <c r="O9" i="6"/>
  <c r="M9" i="6"/>
  <c r="K9" i="6"/>
  <c r="J9" i="6"/>
  <c r="I9" i="6"/>
  <c r="H9" i="6"/>
  <c r="G9" i="6"/>
  <c r="F9" i="6"/>
  <c r="Q8" i="6"/>
  <c r="P8" i="6"/>
  <c r="O8" i="6"/>
  <c r="M8" i="6"/>
  <c r="K8" i="6"/>
  <c r="J8" i="6"/>
  <c r="I8" i="6"/>
  <c r="H8" i="6"/>
  <c r="G8" i="6"/>
  <c r="F8" i="6"/>
  <c r="H7" i="6"/>
  <c r="G7" i="6"/>
  <c r="O7" i="6" s="1"/>
  <c r="F7" i="6"/>
  <c r="H6" i="6"/>
  <c r="F6" i="6"/>
  <c r="J5" i="6"/>
  <c r="J6" i="6" s="1"/>
  <c r="H5" i="6"/>
  <c r="F5" i="6"/>
  <c r="G6" i="6" s="1"/>
  <c r="I6" i="6" s="1"/>
  <c r="B35" i="5"/>
  <c r="B34" i="5"/>
  <c r="B36" i="5" s="1"/>
  <c r="B32" i="5"/>
  <c r="B28" i="5"/>
  <c r="B15" i="5"/>
  <c r="B14" i="5"/>
  <c r="H12" i="5"/>
  <c r="G12" i="5"/>
  <c r="H11" i="5"/>
  <c r="G11" i="5"/>
  <c r="H10" i="5"/>
  <c r="G10" i="5"/>
  <c r="H9" i="5"/>
  <c r="G9" i="5"/>
  <c r="H8" i="5"/>
  <c r="G8" i="5"/>
  <c r="H7" i="5"/>
  <c r="G7" i="5"/>
  <c r="H6" i="5"/>
  <c r="G6" i="5"/>
  <c r="G5" i="5"/>
  <c r="H5" i="5" s="1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F33" i="4"/>
  <c r="D33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F32" i="4"/>
  <c r="D32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F31" i="4"/>
  <c r="D31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F30" i="4"/>
  <c r="D30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F29" i="4"/>
  <c r="D29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F28" i="4"/>
  <c r="D28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F27" i="4"/>
  <c r="D27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F26" i="4"/>
  <c r="D26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F25" i="4"/>
  <c r="D25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F24" i="4"/>
  <c r="D24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F23" i="4"/>
  <c r="D23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F22" i="4"/>
  <c r="D22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F21" i="4"/>
  <c r="D21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F20" i="4"/>
  <c r="D20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F19" i="4"/>
  <c r="D19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F18" i="4"/>
  <c r="D18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F17" i="4"/>
  <c r="D17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F16" i="4"/>
  <c r="D16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F15" i="4"/>
  <c r="D15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F14" i="4"/>
  <c r="D14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F13" i="4"/>
  <c r="D13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F12" i="4"/>
  <c r="D12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F11" i="4"/>
  <c r="D11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F10" i="4"/>
  <c r="D10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F9" i="4"/>
  <c r="D9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F8" i="4"/>
  <c r="D8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F7" i="4"/>
  <c r="D7" i="4"/>
  <c r="V6" i="4"/>
  <c r="U6" i="4"/>
  <c r="T6" i="4"/>
  <c r="S6" i="4"/>
  <c r="R6" i="4"/>
  <c r="Q6" i="4"/>
  <c r="P6" i="4"/>
  <c r="O6" i="4"/>
  <c r="N6" i="4"/>
  <c r="M6" i="4"/>
  <c r="L6" i="4"/>
  <c r="K6" i="4"/>
  <c r="J6" i="4"/>
  <c r="I6" i="4"/>
  <c r="H6" i="4"/>
  <c r="F6" i="4"/>
  <c r="D6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F5" i="4"/>
  <c r="D5" i="4"/>
  <c r="V4" i="4"/>
  <c r="B16" i="7" s="1"/>
  <c r="S4" i="4"/>
  <c r="V20" i="3"/>
  <c r="U20" i="3"/>
  <c r="T20" i="3"/>
  <c r="R20" i="3"/>
  <c r="Q20" i="3"/>
  <c r="P20" i="3"/>
  <c r="M20" i="3"/>
  <c r="L20" i="3"/>
  <c r="J20" i="3"/>
  <c r="I20" i="3"/>
  <c r="V19" i="3"/>
  <c r="U19" i="3"/>
  <c r="R19" i="3"/>
  <c r="Q19" i="3"/>
  <c r="P19" i="3"/>
  <c r="M19" i="3"/>
  <c r="L19" i="3"/>
  <c r="J19" i="3"/>
  <c r="I19" i="3"/>
  <c r="T19" i="3" s="1"/>
  <c r="V18" i="3"/>
  <c r="U18" i="3"/>
  <c r="R18" i="3"/>
  <c r="Q18" i="3"/>
  <c r="P18" i="3"/>
  <c r="M18" i="3"/>
  <c r="L18" i="3"/>
  <c r="J18" i="3"/>
  <c r="I18" i="3"/>
  <c r="T18" i="3" s="1"/>
  <c r="V17" i="3"/>
  <c r="U17" i="3"/>
  <c r="T17" i="3"/>
  <c r="R17" i="3"/>
  <c r="Q17" i="3"/>
  <c r="P17" i="3"/>
  <c r="M17" i="3"/>
  <c r="L17" i="3"/>
  <c r="J17" i="3"/>
  <c r="I17" i="3"/>
  <c r="V16" i="3"/>
  <c r="U16" i="3"/>
  <c r="T16" i="3"/>
  <c r="R16" i="3"/>
  <c r="Q16" i="3"/>
  <c r="P16" i="3"/>
  <c r="M16" i="3"/>
  <c r="L16" i="3"/>
  <c r="J16" i="3"/>
  <c r="I16" i="3"/>
  <c r="V15" i="3"/>
  <c r="U15" i="3"/>
  <c r="R15" i="3"/>
  <c r="Q15" i="3"/>
  <c r="P15" i="3"/>
  <c r="M15" i="3"/>
  <c r="L15" i="3"/>
  <c r="J15" i="3"/>
  <c r="I15" i="3"/>
  <c r="T15" i="3" s="1"/>
  <c r="V14" i="3"/>
  <c r="U14" i="3"/>
  <c r="R14" i="3"/>
  <c r="Q14" i="3"/>
  <c r="P14" i="3"/>
  <c r="M14" i="3"/>
  <c r="L14" i="3"/>
  <c r="J14" i="3"/>
  <c r="I14" i="3"/>
  <c r="T14" i="3" s="1"/>
  <c r="V13" i="3"/>
  <c r="U13" i="3"/>
  <c r="R13" i="3"/>
  <c r="Q13" i="3"/>
  <c r="P13" i="3"/>
  <c r="M13" i="3"/>
  <c r="L13" i="3"/>
  <c r="J13" i="3"/>
  <c r="I13" i="3"/>
  <c r="T13" i="3" s="1"/>
  <c r="J12" i="3"/>
  <c r="I12" i="3"/>
  <c r="L12" i="3" s="1"/>
  <c r="M12" i="3" s="1"/>
  <c r="P12" i="3" s="1"/>
  <c r="J11" i="3"/>
  <c r="I11" i="3"/>
  <c r="T11" i="3" s="1"/>
  <c r="U11" i="3" s="1"/>
  <c r="J10" i="3"/>
  <c r="I10" i="3"/>
  <c r="T10" i="3" s="1"/>
  <c r="U10" i="3" s="1"/>
  <c r="T9" i="3"/>
  <c r="U9" i="3" s="1"/>
  <c r="L9" i="3"/>
  <c r="M9" i="3" s="1"/>
  <c r="P9" i="3" s="1"/>
  <c r="J9" i="3"/>
  <c r="I9" i="3"/>
  <c r="J8" i="3"/>
  <c r="I8" i="3"/>
  <c r="L8" i="3" s="1"/>
  <c r="M8" i="3" s="1"/>
  <c r="P8" i="3" s="1"/>
  <c r="J7" i="3"/>
  <c r="I7" i="3"/>
  <c r="T7" i="3" s="1"/>
  <c r="U7" i="3" s="1"/>
  <c r="L6" i="3"/>
  <c r="M6" i="3" s="1"/>
  <c r="P6" i="3" s="1"/>
  <c r="J6" i="3"/>
  <c r="I6" i="3"/>
  <c r="T6" i="3" s="1"/>
  <c r="U6" i="3" s="1"/>
  <c r="J5" i="3"/>
  <c r="I5" i="3"/>
  <c r="T5" i="3" s="1"/>
  <c r="U5" i="3" s="1"/>
  <c r="J4" i="3"/>
  <c r="I4" i="3"/>
  <c r="G5" i="6" l="1"/>
  <c r="O5" i="6" s="1"/>
  <c r="I7" i="6"/>
  <c r="L5" i="3"/>
  <c r="M5" i="3" s="1"/>
  <c r="P5" i="3" s="1"/>
  <c r="L10" i="3"/>
  <c r="M10" i="3" s="1"/>
  <c r="P10" i="3" s="1"/>
  <c r="R10" i="3" s="1"/>
  <c r="T8" i="3"/>
  <c r="U8" i="3" s="1"/>
  <c r="B24" i="3"/>
  <c r="B25" i="3"/>
  <c r="T4" i="3"/>
  <c r="U4" i="3" s="1"/>
  <c r="T12" i="3"/>
  <c r="U12" i="3" s="1"/>
  <c r="Q7" i="6"/>
  <c r="P7" i="6"/>
  <c r="Q8" i="3"/>
  <c r="R8" i="3" s="1"/>
  <c r="P5" i="6"/>
  <c r="Q5" i="6"/>
  <c r="Q5" i="3"/>
  <c r="R5" i="3"/>
  <c r="Q10" i="3"/>
  <c r="J7" i="6"/>
  <c r="K7" i="6" s="1"/>
  <c r="M7" i="6" s="1"/>
  <c r="K6" i="6"/>
  <c r="M6" i="6" s="1"/>
  <c r="Q12" i="3"/>
  <c r="R12" i="3"/>
  <c r="Q6" i="3"/>
  <c r="R6" i="3" s="1"/>
  <c r="Q9" i="3"/>
  <c r="R9" i="3" s="1"/>
  <c r="O6" i="6"/>
  <c r="L7" i="3"/>
  <c r="M7" i="3" s="1"/>
  <c r="P7" i="3" s="1"/>
  <c r="L11" i="3"/>
  <c r="M11" i="3" s="1"/>
  <c r="P11" i="3" s="1"/>
  <c r="I5" i="6"/>
  <c r="K5" i="6" s="1"/>
  <c r="M5" i="6" s="1"/>
  <c r="L4" i="3"/>
  <c r="M4" i="3" s="1"/>
  <c r="Q7" i="3" l="1"/>
  <c r="R7" i="3" s="1"/>
  <c r="Q6" i="6"/>
  <c r="P6" i="6"/>
  <c r="Q11" i="3"/>
  <c r="R11" i="3" s="1"/>
  <c r="B26" i="3"/>
  <c r="B34" i="3" s="1"/>
  <c r="P4" i="3"/>
  <c r="B27" i="3" l="1"/>
  <c r="Q4" i="3"/>
  <c r="B28" i="3" s="1"/>
  <c r="R4" i="3" l="1"/>
  <c r="B29" i="3"/>
  <c r="B30" i="3"/>
  <c r="B16" i="5" s="1"/>
  <c r="V4" i="3"/>
  <c r="V6" i="3"/>
  <c r="V10" i="3"/>
  <c r="V9" i="3"/>
  <c r="V8" i="3"/>
  <c r="V5" i="3"/>
  <c r="V12" i="3"/>
  <c r="V7" i="3"/>
  <c r="V11" i="3"/>
  <c r="B31" i="3" l="1"/>
  <c r="D4" i="4" l="1"/>
  <c r="F4" i="4"/>
  <c r="R4" i="4" s="1"/>
  <c r="B14" i="7" s="1"/>
  <c r="B32" i="3"/>
  <c r="B27" i="5" s="1"/>
  <c r="B29" i="5" s="1"/>
  <c r="B5" i="7"/>
  <c r="B35" i="3"/>
  <c r="O4" i="4" l="1"/>
  <c r="B33" i="3"/>
  <c r="K4" i="4"/>
  <c r="B10" i="7" s="1"/>
  <c r="B7" i="7"/>
  <c r="B19" i="7" s="1"/>
  <c r="B21" i="7" s="1"/>
  <c r="J4" i="4"/>
  <c r="I4" i="4"/>
  <c r="H4" i="4"/>
  <c r="T4" i="4"/>
  <c r="U4" i="4" s="1"/>
  <c r="B6" i="7"/>
  <c r="L4" i="4" l="1"/>
  <c r="B11" i="7" s="1"/>
  <c r="B9" i="7"/>
  <c r="P4" i="4"/>
  <c r="M4" i="4"/>
  <c r="N4" i="4" s="1"/>
  <c r="B12" i="7" l="1"/>
  <c r="Q4" i="4"/>
  <c r="B13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25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σ_progetto = radice quadrata della somma dei quadrati delle σ di attività (§3.3)</t>
        </r>
      </text>
    </comment>
    <comment ref="B30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Da tracciare rischio per rischio nel foglio 'Buffer e Contingency' (§3.2)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16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Confronto con la contingency calcolata nel foglio WBS: se molto diversa, aggiorna l'elenco rischi</t>
        </r>
      </text>
    </comment>
    <comment ref="B33" authorId="0" shapeId="0" xr:uid="{00000000-0006-0000-0400-000002000000}">
      <text>
        <r>
          <rPr>
            <sz val="11"/>
            <color theme="1"/>
            <rFont val="Calibri"/>
            <family val="2"/>
            <scheme val="minor"/>
          </rPr>
          <t>Giorni di buffer già utilizzati per assorbire ritardi (dal tuo Gantt/Critical Chain)</t>
        </r>
      </text>
    </comment>
    <comment ref="B36" authorId="0" shapeId="0" xr:uid="{00000000-0006-0000-0400-000003000000}">
      <text>
        <r>
          <rPr>
            <sz val="11"/>
            <color theme="1"/>
            <rFont val="Calibri"/>
            <family val="2"/>
            <scheme val="minor"/>
          </rPr>
          <t>&lt; 1 = il buffer si consuma più lentamente dell'avanzamento (sano). &gt; 1 = allarme anticipato: il progetto consuma riserva più velocemente di quanto avanzi (§3.7)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25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WIP = Throughput x Cycle Time (§3.9.5); Throughput settimanale convertito in coerenza con Cycle Time in giorni</t>
        </r>
      </text>
    </comment>
    <comment ref="B27" authorId="0" shapeId="0" xr:uid="{00000000-0006-0000-0500-000002000000}">
      <text>
        <r>
          <rPr>
            <sz val="11"/>
            <color theme="1"/>
            <rFont val="Calibri"/>
            <family val="2"/>
            <scheme val="minor"/>
          </rPr>
          <t>Positivo e crescente: troppo lavoro aperto in parallelo rispetto alla capacita reale del team (§3.9.5)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ImpresaNumerica</author>
  </authors>
  <commentList>
    <comment ref="B19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EV_programma = somma degli EV dei singoli filoni, indipendentemente dal metodo di misura nativo (§3.9.4)</t>
        </r>
      </text>
    </comment>
  </commentList>
</comments>
</file>

<file path=xl/sharedStrings.xml><?xml version="1.0" encoding="utf-8"?>
<sst xmlns="http://schemas.openxmlformats.org/spreadsheetml/2006/main" count="326" uniqueCount="269">
  <si>
    <t>Project Mathematics — Part III</t>
  </si>
  <si>
    <t>ImpresaNumerica · Chapter 3 — cost estimating and EVM monitoring</t>
  </si>
  <si>
    <t>This file does NOT replace your Gantt chart or your Agile board: it works alongside them. The Gantt chart / scheduling tool remains the source for dates and % progress; this file turns all of that into financial figures — cost estimating during planning (§3.1-3.4) and Earned Value monitoring during execution (§3.5-3.8), with a bridge to Agile/Kanban projects (§3.9).</t>
  </si>
  <si>
    <t>How the file is organized</t>
  </si>
  <si>
    <t>Parametri</t>
  </si>
  <si>
    <t>Overhead rates, contingency, management reserve, CPI/SPI traffic-light thresholds, Agile parameters. Set these up first.</t>
  </si>
  <si>
    <t>WBS e Stima Costi</t>
  </si>
  <si>
    <t>PLANNING (§3.1-3.4): break the project down into activities (WBS), estimate them with the three-point method (O/M/P) and obtain PERT, standard deviation, direct/indirect/contingency cost and the final BAC.</t>
  </si>
  <si>
    <t>Monitoraggio EVM</t>
  </si>
  <si>
    <t>EXECUTION (§3.5-3.8): one row per check-point (weekly/biweekly). Enter just 3 numbers (% planned from baseline, % actual progress, actual cost) and get PV, EV, CV, SV, CPI, SPI, ETC, EAC, VAC, TCPI and Burn Rate already calculated, with an automatic traffic light.</t>
  </si>
  <si>
    <t>Buffer e Contingency</t>
  </si>
  <si>
    <t>Tracks the consumption of the risk reserve (contingency) risk by risk, of the management reserve, and of the project time buffer (§3.2, §3.7).</t>
  </si>
  <si>
    <t>Agile - Velocity</t>
  </si>
  <si>
    <t>If part of the project (or all of it) is managed via Sprint/Kanban: velocity, cost per story point, Agile Earned Value and forecast (§3.9).</t>
  </si>
  <si>
    <t>Dashboard</t>
  </si>
  <si>
    <t>Summary KPIs and charts (PV/EV/AC S-curve, CPI/SPI trend) automatically updated from the latest check-point entered.</t>
  </si>
  <si>
    <t>Glossario</t>
  </si>
  <si>
    <t>Meaning of every acronym with a reference to the book section.</t>
  </si>
  <si>
    <t>Color legend</t>
  </si>
  <si>
    <t>INPUT cell — enter your data here (often copied from the Gantt chart / Agile tool)</t>
  </si>
  <si>
    <t>CALCULATED cell — contains a formula, do not modify</t>
  </si>
  <si>
    <t>Group / section header</t>
  </si>
  <si>
    <t>Recommended workflow</t>
  </si>
  <si>
    <t>1. PLANNING — In 'Parametri' set overhead, contingency and thresholds. In 'WBS e Stima Costi' enter the activities with the O/M/P estimates: you get the BAC (project budget).</t>
  </si>
  <si>
    <t>2. KICK-OFF — Freeze the BAC as the baseline: from this point on it is the fixed reference for every future variance (§3.4).</t>
  </si>
  <si>
    <t>3. EXECUTION — At each check-point (from your Gantt chart or your Agile board) record on 'Monitoraggio EVM' the % planned, the % actual and the actual cost: everything else calculates itself.</t>
  </si>
  <si>
    <t>4. CONTROL — Check 'Dashboard' for the summary traffic light; if CPI or SPI fall outside the threshold, decide whether to reschedule, renegotiate or take corrective action (§3.6).</t>
  </si>
  <si>
    <t>5. RESERVES — Every time you use contingency or management reserve for a specific risk, record it in 'Buffer e Contingency': they must not be consumed 'by feel'.</t>
  </si>
  <si>
    <t>6. AGILE — If part of the project is run in sprints, update 'Agile - Velocity' at the end of every sprint: its EV in euros is added to that of the other workstreams in the Dashboard.</t>
  </si>
  <si>
    <t>Project parameters</t>
  </si>
  <si>
    <t>Constants shared by cost estimating, EVM monitoring and Agile (§3.2, §3.7-3.9)</t>
  </si>
  <si>
    <t>Costs and reserves (§3.2)</t>
  </si>
  <si>
    <t>Parameter</t>
  </si>
  <si>
    <t>Value</t>
  </si>
  <si>
    <t>Unit</t>
  </si>
  <si>
    <t>Description</t>
  </si>
  <si>
    <t>Overhead rate (indirect costs)</t>
  </si>
  <si>
    <t>%</t>
  </si>
  <si>
    <t>Percentage of direct costs allocated to structure/management (§2.5, §3.2)</t>
  </si>
  <si>
    <t>Contingency (known-risk reserve)</t>
  </si>
  <si>
    <t>5% for standard projects, 20-30% for innovative/unstable projects (§3.2)</t>
  </si>
  <si>
    <t>Management Reserve</t>
  </si>
  <si>
    <t>Reserve available to the sponsor for contingencies not related to a known risk (§3.4, §3.7)</t>
  </si>
  <si>
    <t>CPI / SPI traffic-light thresholds (§3.8)</t>
  </si>
  <si>
    <t>Green threshold (on track)</t>
  </si>
  <si>
    <t>CPI/SPI &gt;= this value -&gt; Healthy</t>
  </si>
  <si>
    <t>Yellow threshold (caution)</t>
  </si>
  <si>
    <t>CPI/SPI between this value and the green threshold -&gt; Caution; below -&gt; Critical</t>
  </si>
  <si>
    <t>Project (§3.4)</t>
  </si>
  <si>
    <t>Project start date</t>
  </si>
  <si>
    <t>Baseline start date</t>
  </si>
  <si>
    <t>Planned project end date</t>
  </si>
  <si>
    <t>Baseline end date (used to calculate % time elapsed)</t>
  </si>
  <si>
    <t>Initial project buffer (Critical Chain)</t>
  </si>
  <si>
    <t>days</t>
  </si>
  <si>
    <t>Aggregated buffer protecting the project end date (§3.7)</t>
  </si>
  <si>
    <t>Agile / Flow parameters (§3.9)</t>
  </si>
  <si>
    <t>Sprint duration</t>
  </si>
  <si>
    <t>Standard length of a sprint</t>
  </si>
  <si>
    <t>Team cost per sprint (fully loaded)</t>
  </si>
  <si>
    <t>€</t>
  </si>
  <si>
    <t>Fully loaded cost of the Agile team per sprint (Chap. 2, §2.2-2.5)</t>
  </si>
  <si>
    <t>No. of sprints for the velocity moving average</t>
  </si>
  <si>
    <t>Typically 3-6 sprints (§3.9.3)</t>
  </si>
  <si>
    <t>WBS and Cost Estimate — planning (§3.1-3.4)</t>
  </si>
  <si>
    <t>ID</t>
  </si>
  <si>
    <t>Attivita</t>
  </si>
  <si>
    <t>Fase</t>
  </si>
  <si>
    <t>Risorsa</t>
  </si>
  <si>
    <t>CostoOrario</t>
  </si>
  <si>
    <t>O</t>
  </si>
  <si>
    <t>M</t>
  </si>
  <si>
    <t>P</t>
  </si>
  <si>
    <t>PERT</t>
  </si>
  <si>
    <t>Sigma</t>
  </si>
  <si>
    <t>OreGiorno</t>
  </si>
  <si>
    <t>EffortOre</t>
  </si>
  <si>
    <t>CostoPersone</t>
  </si>
  <si>
    <t>Materiali</t>
  </si>
  <si>
    <t>ServiziEsterni</t>
  </si>
  <si>
    <t>CostoDiretto</t>
  </si>
  <si>
    <t>CostoIndiretto</t>
  </si>
  <si>
    <t>CostoAttivita</t>
  </si>
  <si>
    <t>DataInizio</t>
  </si>
  <si>
    <t>DurataGg</t>
  </si>
  <si>
    <t>DataFine</t>
  </si>
  <si>
    <t>PesoPct</t>
  </si>
  <si>
    <t>C451</t>
  </si>
  <si>
    <t>Execution</t>
  </si>
  <si>
    <t>Worker</t>
  </si>
  <si>
    <t>C462</t>
  </si>
  <si>
    <t>C463</t>
  </si>
  <si>
    <t>C464</t>
  </si>
  <si>
    <t>C465</t>
  </si>
  <si>
    <t>C471</t>
  </si>
  <si>
    <t>C951</t>
  </si>
  <si>
    <t>C952</t>
  </si>
  <si>
    <t>C953</t>
  </si>
  <si>
    <t>Project summary — from WBS to Budget At Completion (BAC)</t>
  </si>
  <si>
    <t>Total effort (person-days, sum of PERT)</t>
  </si>
  <si>
    <t>Project standard deviation (σ, independent activities)</t>
  </si>
  <si>
    <t>Total labor cost</t>
  </si>
  <si>
    <t>Total direct cost</t>
  </si>
  <si>
    <t>Total indirect cost (overhead)</t>
  </si>
  <si>
    <t>Subtotal (direct + indirect)</t>
  </si>
  <si>
    <t>BAC — Budget At Completion</t>
  </si>
  <si>
    <t>Management Reserve (extra, available to the sponsor)</t>
  </si>
  <si>
    <t>Total approved budget (BAC + Management Reserve)</t>
  </si>
  <si>
    <t>Average cost per person-day</t>
  </si>
  <si>
    <t>Estimated cost range (±1σ, approximate)</t>
  </si>
  <si>
    <t>Monitoraggio EVM — execution (§3.5-3.8)</t>
  </si>
  <si>
    <t>Data</t>
  </si>
  <si>
    <t>Nota</t>
  </si>
  <si>
    <t>PctPianificato</t>
  </si>
  <si>
    <t>PV</t>
  </si>
  <si>
    <t>PctReale</t>
  </si>
  <si>
    <t>EV</t>
  </si>
  <si>
    <t>AC</t>
  </si>
  <si>
    <t>CV</t>
  </si>
  <si>
    <t>SV</t>
  </si>
  <si>
    <t>CPI</t>
  </si>
  <si>
    <t>SPI</t>
  </si>
  <si>
    <t>Stato</t>
  </si>
  <si>
    <t>ETC</t>
  </si>
  <si>
    <t>EAC</t>
  </si>
  <si>
    <t>EACott</t>
  </si>
  <si>
    <t>EAClin</t>
  </si>
  <si>
    <t>VAC</t>
  </si>
  <si>
    <t>TCPI</t>
  </si>
  <si>
    <t>ACperiodo</t>
  </si>
  <si>
    <t>PVperiodo</t>
  </si>
  <si>
    <t>BurnRate</t>
  </si>
  <si>
    <t>PctTempo</t>
  </si>
  <si>
    <t>Start of Work</t>
  </si>
  <si>
    <t>Buffer e Contingency — reserves tracked risk by risk</t>
  </si>
  <si>
    <t>Contingency — known-risk reserve, tracked risk by risk (§3.2)</t>
  </si>
  <si>
    <t>Rischio</t>
  </si>
  <si>
    <t>Probabilita</t>
  </si>
  <si>
    <t>ImpattoStimato</t>
  </si>
  <si>
    <t>ContingenzaStanziata</t>
  </si>
  <si>
    <t>DataUtilizzo</t>
  </si>
  <si>
    <t>ImportoUtilizzato</t>
  </si>
  <si>
    <t>Residuo</t>
  </si>
  <si>
    <t>Equipment Delivery Delay</t>
  </si>
  <si>
    <t>Total contingency allocated (from risks)</t>
  </si>
  <si>
    <t>Total used</t>
  </si>
  <si>
    <t>Contingency at budget (from WBS)</t>
  </si>
  <si>
    <t>Management Reserve — sponsor reserve for contingencies not related to a known risk (§3.4, §3.7)</t>
  </si>
  <si>
    <t>Descrizione</t>
  </si>
  <si>
    <t>ApprovatoDa</t>
  </si>
  <si>
    <t>Importo</t>
  </si>
  <si>
    <t>Note</t>
  </si>
  <si>
    <t>Management Reserve at budget (from WBS)</t>
  </si>
  <si>
    <t>Remaining</t>
  </si>
  <si>
    <t>Project time buffer — Critical Chain (§3.7)</t>
  </si>
  <si>
    <t>Initial buffer</t>
  </si>
  <si>
    <t>Buffer consumed to date</t>
  </si>
  <si>
    <t>% Buffer consumed</t>
  </si>
  <si>
    <t>% Project completed (latest data from Monitoraggio EVM)</t>
  </si>
  <si>
    <t>Buffer health index (%consumed / %completed)</t>
  </si>
  <si>
    <t>Agile / Flow — Velocity and generalized Earned Value (§3.9)</t>
  </si>
  <si>
    <t>Sprint tracker</t>
  </si>
  <si>
    <t>Sprint</t>
  </si>
  <si>
    <t>SPPianificati</t>
  </si>
  <si>
    <t>SPCompletati</t>
  </si>
  <si>
    <t>Velocity</t>
  </si>
  <si>
    <t>VelocityMedia</t>
  </si>
  <si>
    <t>CostoTeamSprint</t>
  </si>
  <si>
    <t>CostoPerSP</t>
  </si>
  <si>
    <t>SPCumulati</t>
  </si>
  <si>
    <t>EVAgile</t>
  </si>
  <si>
    <t>ACCumulato</t>
  </si>
  <si>
    <t>CPIAgile</t>
  </si>
  <si>
    <t>BacklogResiduo</t>
  </si>
  <si>
    <t>SprintResidui</t>
  </si>
  <si>
    <t>EACtempoGg</t>
  </si>
  <si>
    <t>EACcosto</t>
  </si>
  <si>
    <t>Sprint 1</t>
  </si>
  <si>
    <t>Sprint 2</t>
  </si>
  <si>
    <t>Sprint 3</t>
  </si>
  <si>
    <t>Flow — Kanban and Little's Law (§3.9.5)</t>
  </si>
  <si>
    <t>Throughput (items completed/week)</t>
  </si>
  <si>
    <t>Average Cycle Time (days)</t>
  </si>
  <si>
    <t>Theoretical WIP (Little's Law: Throughput x Cycle Time / 7 days)</t>
  </si>
  <si>
    <t>Observed WIP (items actually in progress)</t>
  </si>
  <si>
    <t>Variance (Observed WIP - Theoretical WIP)</t>
  </si>
  <si>
    <t>Project dashboard</t>
  </si>
  <si>
    <t>Latest check-point available from 'Monitoraggio EVM' (§3.5-3.8)</t>
  </si>
  <si>
    <t>Summary KPIs (latest check-point)</t>
  </si>
  <si>
    <t>PV — Planned Value</t>
  </si>
  <si>
    <t>EV — Earned Value</t>
  </si>
  <si>
    <t>AC — Actual Cost</t>
  </si>
  <si>
    <t>CPI — Cost Performance Index</t>
  </si>
  <si>
    <t>SPI — Schedule Performance Index</t>
  </si>
  <si>
    <t>Project status</t>
  </si>
  <si>
    <t>EAC — Estimate At Completion</t>
  </si>
  <si>
    <t>VAC — Variance At Completion</t>
  </si>
  <si>
    <t>TCPI — efficiency required from here to completion</t>
  </si>
  <si>
    <t>% Actual progress</t>
  </si>
  <si>
    <t>% Time elapsed</t>
  </si>
  <si>
    <t>Hybrid program view — sum of the Gantt/EVM and Agile workstreams (§3.9.4)</t>
  </si>
  <si>
    <t>Program EV (Gantt/EVM EV + Agile EV)</t>
  </si>
  <si>
    <t>Program AC (Gantt/EVM AC + Agile AC)</t>
  </si>
  <si>
    <t>Program CPI</t>
  </si>
  <si>
    <t>Charts</t>
  </si>
  <si>
    <t>Glossary</t>
  </si>
  <si>
    <t>Meaning of every acronym used in the file, with a reference to the book section (Part III, Chap. 3)</t>
  </si>
  <si>
    <t>Acronym</t>
  </si>
  <si>
    <t>Meaning / formula</t>
  </si>
  <si>
    <t>Ref.</t>
  </si>
  <si>
    <t>O / M / P</t>
  </si>
  <si>
    <t>Optimistic / Most likely / Pessimistic estimate (three-point)</t>
  </si>
  <si>
    <t>§3.3</t>
  </si>
  <si>
    <t>Weighted estimate = (O + 4M + P) / 6</t>
  </si>
  <si>
    <t>Sigma (σ)</t>
  </si>
  <si>
    <t>Standard deviation of the estimate = (P - O) / 6</t>
  </si>
  <si>
    <t>BAC</t>
  </si>
  <si>
    <t>Budget At Completion — total budget approved at baseline</t>
  </si>
  <si>
    <t>§3.4</t>
  </si>
  <si>
    <t>Contingency</t>
  </si>
  <si>
    <t>Reserve for known and assessed risks, tracked risk by risk</t>
  </si>
  <si>
    <t>§3.2</t>
  </si>
  <si>
    <t>Reserve available to the sponsor for contingencies not related to a known risk</t>
  </si>
  <si>
    <t>§3.4, §3.7</t>
  </si>
  <si>
    <t>Planned Value — value that should have been completed by date T, per baseline</t>
  </si>
  <si>
    <t>§3.5</t>
  </si>
  <si>
    <t>Actual Cost — cost actually incurred by date T</t>
  </si>
  <si>
    <t>Earned Value — value of the work actually completed by date T = %actual x BAC</t>
  </si>
  <si>
    <t>Cost Variance = EV - AC (negative = spending more than the value produced)</t>
  </si>
  <si>
    <t>§3.6</t>
  </si>
  <si>
    <t>Schedule Variance = EV - PV (negative = behind schedule)</t>
  </si>
  <si>
    <t>Cost Performance Index = EV / AC (1 = on track, &lt;1 = inefficient)</t>
  </si>
  <si>
    <t>§3.8</t>
  </si>
  <si>
    <t>Schedule Performance Index = EV / PV (1 = on track, &lt;1 = behind schedule)</t>
  </si>
  <si>
    <t>Estimate To Complete = (BAC - EV) / CPI — estimated remaining cost</t>
  </si>
  <si>
    <t>Estimate At Completion = AC + ETC — projected final cost</t>
  </si>
  <si>
    <t>Variance At Completion = BAC - EAC — expected final variance</t>
  </si>
  <si>
    <t>To-Complete Performance Index = (BAC - EV) / (BAC - AC) — efficiency required from here to completion</t>
  </si>
  <si>
    <t>§3.6, §3.8</t>
  </si>
  <si>
    <t>Burn Rate</t>
  </si>
  <si>
    <t>Period AC / Period PV — rate of cash consumption vs. plan</t>
  </si>
  <si>
    <t>Forecast Accuracy</t>
  </si>
  <si>
    <t>1 - |EAC - Actual final cost| / Actual final cost (only at closeout)</t>
  </si>
  <si>
    <t>Project buffer</t>
  </si>
  <si>
    <t>Aggregated time margin protecting the critical milestones (Critical Chain)</t>
  </si>
  <si>
    <t>§3.7</t>
  </si>
  <si>
    <t>SP (Story Point)</t>
  </si>
  <si>
    <t>Relative measure of the complexity/effort of a user story</t>
  </si>
  <si>
    <t>§3.9.3</t>
  </si>
  <si>
    <t>Sum of the SP completed (Definition of Done) in a sprint</t>
  </si>
  <si>
    <t>Average velocity</t>
  </si>
  <si>
    <t>Moving average of velocity over the last N iterations (typically 3-6)</t>
  </si>
  <si>
    <t>Cost per SP</t>
  </si>
  <si>
    <t>Fully loaded team cost per sprint / Average velocity</t>
  </si>
  <si>
    <t>§3.9.4</t>
  </si>
  <si>
    <t>Agile EV</t>
  </si>
  <si>
    <t>Cumulative SP completed x Cost per SP — generalized Earned Value</t>
  </si>
  <si>
    <t>Throughput</t>
  </si>
  <si>
    <t>Number of items completed per unit of time (items/week)</t>
  </si>
  <si>
    <t>§3.9.5</t>
  </si>
  <si>
    <t>Cycle Time</t>
  </si>
  <si>
    <t>Time from the actual start of work to completion</t>
  </si>
  <si>
    <t>WIP</t>
  </si>
  <si>
    <t>Work In Progress = Throughput x Cycle Time (Little's Law)</t>
  </si>
  <si>
    <t>Scope buffer</t>
  </si>
  <si>
    <t>Low-priority backlog items, the first to be cut if velocity drops</t>
  </si>
  <si>
    <t>§3.9.7</t>
  </si>
  <si>
    <t>WIP limit</t>
  </si>
  <si>
    <t>Explicit limit on the number of items that can be worked on in parallel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</si>
</sst>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%"/>
    <numFmt numFmtId="165" formatCode="dd/mm/yyyy"/>
    <numFmt numFmtId="166" formatCode="#,##0.0\ &quot;gg&quot;"/>
    <numFmt numFmtId="167" formatCode="0\ &quot;gg&quot;"/>
    <numFmt numFmtId="168" formatCode="#,##0\ &quot;€&quot;"/>
    <numFmt numFmtId="169" formatCode="#,##0.00\ &quot;€&quot;"/>
    <numFmt numFmtId="170" formatCode="0.0"/>
    <numFmt numFmtId="171" formatCode="#,##0.0\ &quot;h&quot;"/>
  </numFmts>
  <fonts count="12" x14ac:knownFonts="1">
    <font>
      <sz val="11"/>
      <color theme="1"/>
      <name val="Calibri"/>
      <family val="2"/>
      <scheme val="minor"/>
    </font>
    <font>
      <b/>
      <sz val="20"/>
      <color rgb="FFFFFFFF"/>
      <name val="Calibri"/>
      <family val="2"/>
    </font>
    <font>
      <i/>
      <sz val="12"/>
      <color rgb="FFD9E2F3"/>
      <name val="Calibri"/>
      <family val="2"/>
    </font>
    <font>
      <b/>
      <sz val="12"/>
      <color rgb="FFFFFFFF"/>
      <name val="Calibri"/>
      <family val="2"/>
    </font>
    <font>
      <b/>
      <sz val="11"/>
      <color rgb="FF2E75B6"/>
      <name val="Calibri"/>
      <family val="2"/>
    </font>
    <font>
      <b/>
      <sz val="10"/>
      <name val="Calibri"/>
      <family val="2"/>
    </font>
    <font>
      <b/>
      <sz val="10"/>
      <color rgb="FF7F6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b/>
      <sz val="12"/>
      <color rgb="FF1F3864"/>
      <name val="Calibri"/>
      <family val="2"/>
    </font>
    <font>
      <b/>
      <sz val="12"/>
      <name val="Calibri"/>
      <family val="2"/>
    </font>
    <font>
      <b/>
      <sz val="10"/>
      <color rgb="FF7F6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D9E2F3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5" fillId="6" borderId="0" xfId="0" applyFont="1" applyFill="1"/>
    <xf numFmtId="0" fontId="5" fillId="0" borderId="0" xfId="0" applyFont="1" applyAlignment="1">
      <alignment horizontal="left" vertical="center"/>
    </xf>
    <xf numFmtId="164" fontId="6" fillId="4" borderId="1" xfId="0" applyNumberFormat="1" applyFont="1" applyFill="1" applyBorder="1" applyAlignment="1">
      <alignment horizontal="right" vertical="center"/>
    </xf>
    <xf numFmtId="2" fontId="6" fillId="4" borderId="1" xfId="0" applyNumberFormat="1" applyFont="1" applyFill="1" applyBorder="1" applyAlignment="1">
      <alignment horizontal="right" vertical="center"/>
    </xf>
    <xf numFmtId="165" fontId="6" fillId="4" borderId="1" xfId="0" applyNumberFormat="1" applyFont="1" applyFill="1" applyBorder="1" applyAlignment="1">
      <alignment horizontal="right" vertical="center"/>
    </xf>
    <xf numFmtId="166" fontId="6" fillId="4" borderId="1" xfId="0" applyNumberFormat="1" applyFont="1" applyFill="1" applyBorder="1" applyAlignment="1">
      <alignment horizontal="right" vertical="center"/>
    </xf>
    <xf numFmtId="167" fontId="6" fillId="4" borderId="1" xfId="0" applyNumberFormat="1" applyFont="1" applyFill="1" applyBorder="1" applyAlignment="1">
      <alignment horizontal="right" vertical="center"/>
    </xf>
    <xf numFmtId="168" fontId="6" fillId="4" borderId="1" xfId="0" applyNumberFormat="1" applyFont="1" applyFill="1" applyBorder="1" applyAlignment="1">
      <alignment horizontal="right" vertical="center"/>
    </xf>
    <xf numFmtId="1" fontId="6" fillId="4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169" fontId="6" fillId="4" borderId="1" xfId="0" applyNumberFormat="1" applyFont="1" applyFill="1" applyBorder="1" applyAlignment="1">
      <alignment horizontal="right" vertical="center"/>
    </xf>
    <xf numFmtId="166" fontId="8" fillId="5" borderId="1" xfId="0" applyNumberFormat="1" applyFont="1" applyFill="1" applyBorder="1" applyAlignment="1">
      <alignment horizontal="right" vertical="center"/>
    </xf>
    <xf numFmtId="170" fontId="6" fillId="4" borderId="1" xfId="0" applyNumberFormat="1" applyFont="1" applyFill="1" applyBorder="1" applyAlignment="1">
      <alignment horizontal="right" vertical="center"/>
    </xf>
    <xf numFmtId="171" fontId="8" fillId="5" borderId="1" xfId="0" applyNumberFormat="1" applyFont="1" applyFill="1" applyBorder="1" applyAlignment="1">
      <alignment horizontal="right" vertical="center"/>
    </xf>
    <xf numFmtId="168" fontId="8" fillId="5" borderId="1" xfId="0" applyNumberFormat="1" applyFont="1" applyFill="1" applyBorder="1" applyAlignment="1">
      <alignment horizontal="right" vertical="center"/>
    </xf>
    <xf numFmtId="165" fontId="8" fillId="5" borderId="1" xfId="0" applyNumberFormat="1" applyFont="1" applyFill="1" applyBorder="1" applyAlignment="1">
      <alignment horizontal="right" vertical="center"/>
    </xf>
    <xf numFmtId="164" fontId="8" fillId="5" borderId="1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168" fontId="9" fillId="5" borderId="1" xfId="0" applyNumberFormat="1" applyFont="1" applyFill="1" applyBorder="1" applyAlignment="1">
      <alignment horizontal="right" vertical="center"/>
    </xf>
    <xf numFmtId="169" fontId="8" fillId="5" borderId="1" xfId="0" applyNumberFormat="1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right" vertical="center"/>
    </xf>
    <xf numFmtId="165" fontId="6" fillId="4" borderId="1" xfId="0" applyNumberFormat="1" applyFont="1" applyFill="1" applyBorder="1" applyAlignment="1">
      <alignment horizontal="left" vertical="center"/>
    </xf>
    <xf numFmtId="2" fontId="8" fillId="5" borderId="1" xfId="0" applyNumberFormat="1" applyFont="1" applyFill="1" applyBorder="1" applyAlignment="1">
      <alignment horizontal="right" vertical="center"/>
    </xf>
    <xf numFmtId="0" fontId="0" fillId="5" borderId="1" xfId="0" applyFill="1" applyBorder="1" applyAlignment="1">
      <alignment horizontal="left" vertical="center"/>
    </xf>
    <xf numFmtId="168" fontId="0" fillId="5" borderId="1" xfId="0" applyNumberForma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right" vertical="center"/>
    </xf>
    <xf numFmtId="0" fontId="0" fillId="5" borderId="1" xfId="0" applyFill="1" applyBorder="1" applyAlignment="1">
      <alignment horizontal="right" vertical="center"/>
    </xf>
    <xf numFmtId="169" fontId="0" fillId="5" borderId="1" xfId="0" applyNumberFormat="1" applyFill="1" applyBorder="1" applyAlignment="1">
      <alignment horizontal="right" vertical="center"/>
    </xf>
    <xf numFmtId="2" fontId="0" fillId="5" borderId="1" xfId="0" applyNumberFormat="1" applyFill="1" applyBorder="1" applyAlignment="1">
      <alignment horizontal="right" vertical="center"/>
    </xf>
    <xf numFmtId="166" fontId="0" fillId="5" borderId="1" xfId="0" applyNumberFormat="1" applyFill="1" applyBorder="1" applyAlignment="1">
      <alignment horizontal="right" vertical="center"/>
    </xf>
    <xf numFmtId="0" fontId="7" fillId="2" borderId="0" xfId="0" applyFont="1" applyFill="1"/>
    <xf numFmtId="165" fontId="11" fillId="4" borderId="1" xfId="0" applyNumberFormat="1" applyFont="1" applyFill="1" applyBorder="1" applyAlignment="1">
      <alignment horizontal="left" vertical="center"/>
    </xf>
    <xf numFmtId="0" fontId="11" fillId="4" borderId="1" xfId="0" applyFont="1" applyFill="1" applyBorder="1" applyAlignment="1">
      <alignment horizontal="left" vertical="center"/>
    </xf>
    <xf numFmtId="0" fontId="0" fillId="0" borderId="0" xfId="0" applyAlignment="1">
      <alignment vertical="top" wrapText="1"/>
    </xf>
    <xf numFmtId="0" fontId="0" fillId="0" borderId="0" xfId="0"/>
    <xf numFmtId="4" fontId="0" fillId="0" borderId="0" xfId="0" applyNumberFormat="1"/>
    <xf numFmtId="0" fontId="0" fillId="0" borderId="0" xfId="0" applyAlignment="1">
      <alignment vertical="top" wrapText="1"/>
    </xf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</cellXfs>
  <cellStyles count="1">
    <cellStyle name="Normal" xfId="0" builtinId="0"/>
  </cellStyles>
  <dxfs count="17">
    <dxf>
      <font>
        <color rgb="FFC00000"/>
      </font>
      <fill>
        <patternFill patternType="solid">
          <fgColor rgb="FFF8CBAD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color rgb="FFC00000"/>
      </font>
      <fill>
        <patternFill patternType="solid">
          <fgColor rgb="FFF8CBAD"/>
        </patternFill>
      </fill>
    </dxf>
    <dxf>
      <font>
        <b/>
        <color rgb="FFC00000"/>
      </font>
      <fill>
        <patternFill patternType="solid">
          <fgColor rgb="FFF8CBAD"/>
        </patternFill>
      </fill>
    </dxf>
    <dxf>
      <font>
        <b/>
        <color rgb="FFBF8F00"/>
      </font>
      <fill>
        <patternFill patternType="solid">
          <fgColor rgb="FFFFE699"/>
        </patternFill>
      </fill>
    </dxf>
    <dxf>
      <font>
        <b/>
        <color rgb="FF548235"/>
      </font>
      <fill>
        <patternFill patternType="solid">
          <fgColor rgb="FFC6E0B4"/>
        </patternFill>
      </fill>
    </dxf>
    <dxf>
      <numFmt numFmtId="166" formatCode="#,##0.0\ &quot;gg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it-IT"/>
              <a:t>Curva a S — PV / EV / AC nel tempo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'Monitoraggio EVM'!$D$3</c:f>
              <c:strCache>
                <c:ptCount val="1"/>
                <c:pt idx="0">
                  <c:v>PV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'Monitoraggio EVM'!$A$4:$A$33</c:f>
              <c:numCache>
                <c:formatCode>dd/mm/yyyy</c:formatCode>
                <c:ptCount val="30"/>
                <c:pt idx="0">
                  <c:v>46023</c:v>
                </c:pt>
              </c:numCache>
            </c:numRef>
          </c:cat>
          <c:val>
            <c:numRef>
              <c:f>'Monitoraggio EVM'!$D$4:$D$33</c:f>
              <c:numCache>
                <c:formatCode>#,##0\ "€"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46-453C-A649-856EAB8E6DE3}"/>
            </c:ext>
          </c:extLst>
        </c:ser>
        <c:ser>
          <c:idx val="1"/>
          <c:order val="1"/>
          <c:tx>
            <c:strRef>
              <c:f>'Monitoraggio EVM'!$F$3</c:f>
              <c:strCache>
                <c:ptCount val="1"/>
                <c:pt idx="0">
                  <c:v>EV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'Monitoraggio EVM'!$A$4:$A$33</c:f>
              <c:numCache>
                <c:formatCode>dd/mm/yyyy</c:formatCode>
                <c:ptCount val="30"/>
                <c:pt idx="0">
                  <c:v>46023</c:v>
                </c:pt>
              </c:numCache>
            </c:numRef>
          </c:cat>
          <c:val>
            <c:numRef>
              <c:f>'Monitoraggio EVM'!$F$4:$F$33</c:f>
              <c:numCache>
                <c:formatCode>#,##0\ "€"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46-453C-A649-856EAB8E6DE3}"/>
            </c:ext>
          </c:extLst>
        </c:ser>
        <c:ser>
          <c:idx val="2"/>
          <c:order val="2"/>
          <c:tx>
            <c:strRef>
              <c:f>'Monitoraggio EVM'!$G$3</c:f>
              <c:strCache>
                <c:ptCount val="1"/>
                <c:pt idx="0">
                  <c:v>AC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'Monitoraggio EVM'!$A$4:$A$33</c:f>
              <c:numCache>
                <c:formatCode>dd/mm/yyyy</c:formatCode>
                <c:ptCount val="30"/>
                <c:pt idx="0">
                  <c:v>46023</c:v>
                </c:pt>
              </c:numCache>
            </c:numRef>
          </c:cat>
          <c:val>
            <c:numRef>
              <c:f>'Monitoraggio EVM'!$G$4:$G$33</c:f>
              <c:numCache>
                <c:formatCode>#,##0\ "€"</c:formatCode>
                <c:ptCount val="30"/>
                <c:pt idx="0">
                  <c:v>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46-453C-A649-856EAB8E6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Data</a:t>
                </a:r>
              </a:p>
            </c:rich>
          </c:tx>
          <c:overlay val="1"/>
        </c:title>
        <c:numFmt formatCode="dd/mm/yyyy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€</a:t>
                </a:r>
              </a:p>
            </c:rich>
          </c:tx>
          <c:overlay val="1"/>
        </c:title>
        <c:numFmt formatCode="#,##0\ &quot;€&quot;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it-IT"/>
              <a:t>Trend CPI / SPI (riferimento sano = 1.0)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'Monitoraggio EVM'!$J$3</c:f>
              <c:strCache>
                <c:ptCount val="1"/>
                <c:pt idx="0">
                  <c:v>CPI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'Monitoraggio EVM'!$A$4:$A$33</c:f>
              <c:numCache>
                <c:formatCode>dd/mm/yyyy</c:formatCode>
                <c:ptCount val="30"/>
                <c:pt idx="0">
                  <c:v>46023</c:v>
                </c:pt>
              </c:numCache>
            </c:numRef>
          </c:cat>
          <c:val>
            <c:numRef>
              <c:f>'Monitoraggio EVM'!$J$4:$J$33</c:f>
              <c:numCache>
                <c:formatCode>0.00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BA-4F2E-B640-E65F1ACA958F}"/>
            </c:ext>
          </c:extLst>
        </c:ser>
        <c:ser>
          <c:idx val="1"/>
          <c:order val="1"/>
          <c:tx>
            <c:strRef>
              <c:f>'Monitoraggio EVM'!$K$3</c:f>
              <c:strCache>
                <c:ptCount val="1"/>
                <c:pt idx="0">
                  <c:v>SPI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'Monitoraggio EVM'!$A$4:$A$33</c:f>
              <c:numCache>
                <c:formatCode>dd/mm/yyyy</c:formatCode>
                <c:ptCount val="30"/>
                <c:pt idx="0">
                  <c:v>46023</c:v>
                </c:pt>
              </c:numCache>
            </c:numRef>
          </c:cat>
          <c:val>
            <c:numRef>
              <c:f>'Monitoraggio EVM'!$K$4:$K$33</c:f>
              <c:numCache>
                <c:formatCode>0.00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BA-4F2E-B640-E65F1ACA9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dateAx>
        <c:axId val="10"/>
        <c:scaling>
          <c:orientation val="minMax"/>
        </c:scaling>
        <c:delete val="1"/>
        <c:axPos val="b"/>
        <c:numFmt formatCode="dd/mm/yyyy" sourceLinked="1"/>
        <c:majorTickMark val="none"/>
        <c:minorTickMark val="none"/>
        <c:tickLblPos val="nextTo"/>
        <c:crossAx val="100"/>
        <c:crosses val="autoZero"/>
        <c:auto val="1"/>
        <c:lblOffset val="100"/>
        <c:baseTimeUnit val="months"/>
      </c:date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/>
                  <a:t>Indice</a:t>
                </a:r>
              </a:p>
            </c:rich>
          </c:tx>
          <c:overlay val="1"/>
        </c:title>
        <c:numFmt formatCode="0.0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8640000" cy="39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46</xdr:row>
      <xdr:rowOff>0</xdr:rowOff>
    </xdr:from>
    <xdr:ext cx="8640000" cy="39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WBS" displayName="TabellaWBS" ref="A3:V20">
  <autoFilter ref="A3:V20" xr:uid="{00000000-0009-0000-0100-000001000000}"/>
  <tableColumns count="22">
    <tableColumn id="1" xr3:uid="{00000000-0010-0000-0000-000001000000}" name="ID"/>
    <tableColumn id="2" xr3:uid="{00000000-0010-0000-0000-000002000000}" name="Attivita"/>
    <tableColumn id="3" xr3:uid="{00000000-0010-0000-0000-000003000000}" name="Fase"/>
    <tableColumn id="4" xr3:uid="{00000000-0010-0000-0000-000004000000}" name="Risorsa"/>
    <tableColumn id="5" xr3:uid="{00000000-0010-0000-0000-000005000000}" name="CostoOrario"/>
    <tableColumn id="6" xr3:uid="{00000000-0010-0000-0000-000006000000}" name="O"/>
    <tableColumn id="7" xr3:uid="{00000000-0010-0000-0000-000007000000}" name="M"/>
    <tableColumn id="8" xr3:uid="{00000000-0010-0000-0000-000008000000}" name="P"/>
    <tableColumn id="9" xr3:uid="{00000000-0010-0000-0000-000009000000}" name="PERT"/>
    <tableColumn id="10" xr3:uid="{00000000-0010-0000-0000-00000A000000}" name="Sigma"/>
    <tableColumn id="11" xr3:uid="{00000000-0010-0000-0000-00000B000000}" name="OreGiorno"/>
    <tableColumn id="12" xr3:uid="{00000000-0010-0000-0000-00000C000000}" name="EffortOre"/>
    <tableColumn id="13" xr3:uid="{00000000-0010-0000-0000-00000D000000}" name="CostoPersone"/>
    <tableColumn id="14" xr3:uid="{00000000-0010-0000-0000-00000E000000}" name="Materiali"/>
    <tableColumn id="15" xr3:uid="{00000000-0010-0000-0000-00000F000000}" name="ServiziEsterni"/>
    <tableColumn id="16" xr3:uid="{00000000-0010-0000-0000-000010000000}" name="CostoDiretto"/>
    <tableColumn id="17" xr3:uid="{00000000-0010-0000-0000-000011000000}" name="CostoIndiretto"/>
    <tableColumn id="18" xr3:uid="{00000000-0010-0000-0000-000012000000}" name="CostoAttivita"/>
    <tableColumn id="19" xr3:uid="{00000000-0010-0000-0000-000013000000}" name="DataInizio"/>
    <tableColumn id="20" xr3:uid="{00000000-0010-0000-0000-000014000000}" name="DurataGg" dataDxfId="16">
      <calculatedColumnFormula>TabellaWBS[[#This Row],[PERT]]</calculatedColumnFormula>
    </tableColumn>
    <tableColumn id="21" xr3:uid="{00000000-0010-0000-0000-000015000000}" name="DataFine"/>
    <tableColumn id="22" xr3:uid="{00000000-0010-0000-0000-000016000000}" name="PesoPc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aEVM" displayName="TabellaEVM" ref="A3:V33">
  <autoFilter ref="A3:V33" xr:uid="{00000000-0009-0000-0100-000002000000}"/>
  <tableColumns count="22">
    <tableColumn id="1" xr3:uid="{00000000-0010-0000-0100-000001000000}" name="Data"/>
    <tableColumn id="2" xr3:uid="{00000000-0010-0000-0100-000002000000}" name="Nota"/>
    <tableColumn id="3" xr3:uid="{00000000-0010-0000-0100-000003000000}" name="PctPianificato"/>
    <tableColumn id="4" xr3:uid="{00000000-0010-0000-0100-000004000000}" name="PV"/>
    <tableColumn id="5" xr3:uid="{00000000-0010-0000-0100-000005000000}" name="PctReale"/>
    <tableColumn id="6" xr3:uid="{00000000-0010-0000-0100-000006000000}" name="EV"/>
    <tableColumn id="7" xr3:uid="{00000000-0010-0000-0100-000007000000}" name="AC"/>
    <tableColumn id="8" xr3:uid="{00000000-0010-0000-0100-000008000000}" name="CV"/>
    <tableColumn id="9" xr3:uid="{00000000-0010-0000-0100-000009000000}" name="SV"/>
    <tableColumn id="10" xr3:uid="{00000000-0010-0000-0100-00000A000000}" name="CPI"/>
    <tableColumn id="11" xr3:uid="{00000000-0010-0000-0100-00000B000000}" name="SPI"/>
    <tableColumn id="12" xr3:uid="{00000000-0010-0000-0100-00000C000000}" name="Stato"/>
    <tableColumn id="13" xr3:uid="{00000000-0010-0000-0100-00000D000000}" name="ETC"/>
    <tableColumn id="14" xr3:uid="{00000000-0010-0000-0100-00000E000000}" name="EAC"/>
    <tableColumn id="15" xr3:uid="{00000000-0010-0000-0100-00000F000000}" name="EACott"/>
    <tableColumn id="16" xr3:uid="{00000000-0010-0000-0100-000010000000}" name="EAClin"/>
    <tableColumn id="17" xr3:uid="{00000000-0010-0000-0100-000011000000}" name="VAC"/>
    <tableColumn id="18" xr3:uid="{00000000-0010-0000-0100-000012000000}" name="TCPI"/>
    <tableColumn id="19" xr3:uid="{00000000-0010-0000-0100-000013000000}" name="ACperiodo"/>
    <tableColumn id="20" xr3:uid="{00000000-0010-0000-0100-000014000000}" name="PVperiodo"/>
    <tableColumn id="21" xr3:uid="{00000000-0010-0000-0100-000015000000}" name="BurnRate"/>
    <tableColumn id="22" xr3:uid="{00000000-0010-0000-0100-000016000000}" name="PctTempo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aContingency" displayName="TabellaContingency" ref="A4:H12">
  <autoFilter ref="A4:H12" xr:uid="{00000000-0009-0000-0100-000003000000}"/>
  <tableColumns count="8">
    <tableColumn id="1" xr3:uid="{00000000-0010-0000-0200-000001000000}" name="Rischio"/>
    <tableColumn id="2" xr3:uid="{00000000-0010-0000-0200-000002000000}" name="Probabilita"/>
    <tableColumn id="3" xr3:uid="{00000000-0010-0000-0200-000003000000}" name="ImpattoStimato"/>
    <tableColumn id="4" xr3:uid="{00000000-0010-0000-0200-000004000000}" name="ContingenzaStanziata"/>
    <tableColumn id="5" xr3:uid="{00000000-0010-0000-0200-000005000000}" name="DataUtilizzo"/>
    <tableColumn id="6" xr3:uid="{00000000-0010-0000-0200-000006000000}" name="ImportoUtilizzato"/>
    <tableColumn id="7" xr3:uid="{00000000-0010-0000-0200-000007000000}" name="Residuo"/>
    <tableColumn id="8" xr3:uid="{00000000-0010-0000-0200-000008000000}" name="Stato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laManagementReserve" displayName="TabellaManagementReserve" ref="A19:E25">
  <autoFilter ref="A19:E25" xr:uid="{00000000-0009-0000-0100-000004000000}"/>
  <tableColumns count="5">
    <tableColumn id="1" xr3:uid="{00000000-0010-0000-0300-000001000000}" name="Data"/>
    <tableColumn id="2" xr3:uid="{00000000-0010-0000-0300-000002000000}" name="Descrizione"/>
    <tableColumn id="3" xr3:uid="{00000000-0010-0000-0300-000003000000}" name="ApprovatoDa"/>
    <tableColumn id="4" xr3:uid="{00000000-0010-0000-0300-000004000000}" name="Importo"/>
    <tableColumn id="5" xr3:uid="{00000000-0010-0000-0300-000005000000}" name="Note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laAgile" displayName="TabellaAgile" ref="A4:Q20">
  <autoFilter ref="A4:Q20" xr:uid="{00000000-0009-0000-0100-000005000000}"/>
  <tableColumns count="17">
    <tableColumn id="1" xr3:uid="{00000000-0010-0000-0400-000001000000}" name="Sprint"/>
    <tableColumn id="2" xr3:uid="{00000000-0010-0000-0400-000002000000}" name="DataInizio"/>
    <tableColumn id="3" xr3:uid="{00000000-0010-0000-0400-000003000000}" name="DataFine"/>
    <tableColumn id="4" xr3:uid="{00000000-0010-0000-0400-000004000000}" name="SPPianificati"/>
    <tableColumn id="5" xr3:uid="{00000000-0010-0000-0400-000005000000}" name="SPCompletati"/>
    <tableColumn id="6" xr3:uid="{00000000-0010-0000-0400-000006000000}" name="Velocity"/>
    <tableColumn id="7" xr3:uid="{00000000-0010-0000-0400-000007000000}" name="VelocityMedia"/>
    <tableColumn id="8" xr3:uid="{00000000-0010-0000-0400-000008000000}" name="CostoTeamSprint"/>
    <tableColumn id="9" xr3:uid="{00000000-0010-0000-0400-000009000000}" name="CostoPerSP"/>
    <tableColumn id="10" xr3:uid="{00000000-0010-0000-0400-00000A000000}" name="SPCumulati"/>
    <tableColumn id="11" xr3:uid="{00000000-0010-0000-0400-00000B000000}" name="EVAgile"/>
    <tableColumn id="12" xr3:uid="{00000000-0010-0000-0400-00000C000000}" name="ACCumulato"/>
    <tableColumn id="13" xr3:uid="{00000000-0010-0000-0400-00000D000000}" name="CPIAgile"/>
    <tableColumn id="14" xr3:uid="{00000000-0010-0000-0400-00000E000000}" name="BacklogResiduo"/>
    <tableColumn id="15" xr3:uid="{00000000-0010-0000-0400-00000F000000}" name="SprintResidui"/>
    <tableColumn id="16" xr3:uid="{00000000-0010-0000-0400-000010000000}" name="EACtempoGg"/>
    <tableColumn id="17" xr3:uid="{00000000-0010-0000-0400-000011000000}" name="EACcost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2.vml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showGridLines="0" workbookViewId="0">
      <selection activeCell="A10" sqref="A10"/>
    </sheetView>
  </sheetViews>
  <sheetFormatPr defaultRowHeight="15" x14ac:dyDescent="0.25"/>
  <cols>
    <col min="1" max="2" width="26" style="40" customWidth="1"/>
    <col min="3" max="8" width="22" style="40" customWidth="1"/>
  </cols>
  <sheetData>
    <row r="1" spans="1:8" ht="33.950000000000003" customHeight="1" x14ac:dyDescent="0.25">
      <c r="A1" s="45" t="s">
        <v>0</v>
      </c>
      <c r="B1" s="43"/>
      <c r="C1" s="43"/>
      <c r="D1" s="43"/>
      <c r="E1" s="43"/>
      <c r="F1" s="43"/>
      <c r="G1" s="43"/>
      <c r="H1" s="43"/>
    </row>
    <row r="2" spans="1:8" ht="18" customHeight="1" x14ac:dyDescent="0.25">
      <c r="A2" s="46" t="s">
        <v>1</v>
      </c>
      <c r="B2" s="43"/>
      <c r="C2" s="43"/>
      <c r="D2" s="43"/>
      <c r="E2" s="43"/>
      <c r="F2" s="43"/>
      <c r="G2" s="43"/>
      <c r="H2" s="43"/>
    </row>
    <row r="4" spans="1:8" ht="48" customHeight="1" x14ac:dyDescent="0.25">
      <c r="A4" s="42" t="s">
        <v>2</v>
      </c>
      <c r="B4" s="43"/>
      <c r="C4" s="43"/>
      <c r="D4" s="43"/>
      <c r="E4" s="43"/>
      <c r="F4" s="43"/>
      <c r="G4" s="43"/>
      <c r="H4" s="43"/>
    </row>
    <row r="6" spans="1:8" ht="21.95" customHeight="1" x14ac:dyDescent="0.25">
      <c r="A6" s="44" t="s">
        <v>3</v>
      </c>
      <c r="B6" s="43"/>
      <c r="C6" s="43"/>
      <c r="D6" s="43"/>
      <c r="E6" s="43"/>
      <c r="F6" s="43"/>
      <c r="G6" s="43"/>
      <c r="H6" s="43"/>
    </row>
    <row r="7" spans="1:8" ht="33.950000000000003" customHeight="1" x14ac:dyDescent="0.25">
      <c r="A7" s="1" t="s">
        <v>4</v>
      </c>
      <c r="B7" s="42" t="s">
        <v>5</v>
      </c>
      <c r="C7" s="43"/>
      <c r="D7" s="43"/>
      <c r="E7" s="43"/>
      <c r="F7" s="43"/>
      <c r="G7" s="43"/>
      <c r="H7" s="43"/>
    </row>
    <row r="8" spans="1:8" ht="33.950000000000003" customHeight="1" x14ac:dyDescent="0.25">
      <c r="A8" s="1" t="s">
        <v>6</v>
      </c>
      <c r="B8" s="42" t="s">
        <v>7</v>
      </c>
      <c r="C8" s="43"/>
      <c r="D8" s="43"/>
      <c r="E8" s="43"/>
      <c r="F8" s="43"/>
      <c r="G8" s="43"/>
      <c r="H8" s="43"/>
    </row>
    <row r="9" spans="1:8" ht="33.950000000000003" customHeight="1" x14ac:dyDescent="0.25">
      <c r="A9" s="1" t="s">
        <v>8</v>
      </c>
      <c r="B9" s="42" t="s">
        <v>9</v>
      </c>
      <c r="C9" s="43"/>
      <c r="D9" s="43"/>
      <c r="E9" s="43"/>
      <c r="F9" s="43"/>
      <c r="G9" s="43"/>
      <c r="H9" s="43"/>
    </row>
    <row r="10" spans="1:8" ht="33.950000000000003" customHeight="1" x14ac:dyDescent="0.25">
      <c r="A10" s="1" t="s">
        <v>10</v>
      </c>
      <c r="B10" s="42" t="s">
        <v>11</v>
      </c>
      <c r="C10" s="43"/>
      <c r="D10" s="43"/>
      <c r="E10" s="43"/>
      <c r="F10" s="43"/>
      <c r="G10" s="43"/>
      <c r="H10" s="43"/>
    </row>
    <row r="11" spans="1:8" ht="33.950000000000003" customHeight="1" x14ac:dyDescent="0.25">
      <c r="A11" s="1" t="s">
        <v>12</v>
      </c>
      <c r="B11" s="42" t="s">
        <v>13</v>
      </c>
      <c r="C11" s="43"/>
      <c r="D11" s="43"/>
      <c r="E11" s="43"/>
      <c r="F11" s="43"/>
      <c r="G11" s="43"/>
      <c r="H11" s="43"/>
    </row>
    <row r="12" spans="1:8" ht="33.950000000000003" customHeight="1" x14ac:dyDescent="0.25">
      <c r="A12" s="1" t="s">
        <v>14</v>
      </c>
      <c r="B12" s="42" t="s">
        <v>15</v>
      </c>
      <c r="C12" s="43"/>
      <c r="D12" s="43"/>
      <c r="E12" s="43"/>
      <c r="F12" s="43"/>
      <c r="G12" s="43"/>
      <c r="H12" s="43"/>
    </row>
    <row r="13" spans="1:8" ht="33.950000000000003" customHeight="1" x14ac:dyDescent="0.25">
      <c r="A13" s="1" t="s">
        <v>16</v>
      </c>
      <c r="B13" s="42" t="s">
        <v>17</v>
      </c>
      <c r="C13" s="43"/>
      <c r="D13" s="43"/>
      <c r="E13" s="43"/>
      <c r="F13" s="43"/>
      <c r="G13" s="43"/>
      <c r="H13" s="43"/>
    </row>
    <row r="15" spans="1:8" ht="21.95" customHeight="1" x14ac:dyDescent="0.25">
      <c r="A15" s="44" t="s">
        <v>18</v>
      </c>
      <c r="B15" s="43"/>
      <c r="C15" s="43"/>
      <c r="D15" s="43"/>
      <c r="E15" s="43"/>
      <c r="F15" s="43"/>
      <c r="G15" s="43"/>
      <c r="H15" s="43"/>
    </row>
    <row r="16" spans="1:8" x14ac:dyDescent="0.25">
      <c r="A16" s="2"/>
      <c r="B16" s="43" t="s">
        <v>19</v>
      </c>
      <c r="C16" s="43"/>
      <c r="D16" s="43"/>
      <c r="E16" s="43"/>
      <c r="F16" s="43"/>
      <c r="G16" s="43"/>
      <c r="H16" s="43"/>
    </row>
    <row r="17" spans="1:8" x14ac:dyDescent="0.25">
      <c r="A17" s="3"/>
      <c r="B17" s="43" t="s">
        <v>20</v>
      </c>
      <c r="C17" s="43"/>
      <c r="D17" s="43"/>
      <c r="E17" s="43"/>
      <c r="F17" s="43"/>
      <c r="G17" s="43"/>
      <c r="H17" s="43"/>
    </row>
    <row r="18" spans="1:8" x14ac:dyDescent="0.25">
      <c r="A18" s="4"/>
      <c r="B18" s="43" t="s">
        <v>21</v>
      </c>
      <c r="C18" s="43"/>
      <c r="D18" s="43"/>
      <c r="E18" s="43"/>
      <c r="F18" s="43"/>
      <c r="G18" s="43"/>
      <c r="H18" s="43"/>
    </row>
    <row r="20" spans="1:8" ht="21.95" customHeight="1" x14ac:dyDescent="0.25">
      <c r="A20" s="44" t="s">
        <v>22</v>
      </c>
      <c r="B20" s="43"/>
      <c r="C20" s="43"/>
      <c r="D20" s="43"/>
      <c r="E20" s="43"/>
      <c r="F20" s="43"/>
      <c r="G20" s="43"/>
      <c r="H20" s="43"/>
    </row>
    <row r="21" spans="1:8" ht="30" customHeight="1" x14ac:dyDescent="0.25">
      <c r="A21" s="42" t="s">
        <v>23</v>
      </c>
      <c r="B21" s="43"/>
      <c r="C21" s="43"/>
      <c r="D21" s="43"/>
      <c r="E21" s="43"/>
      <c r="F21" s="43"/>
      <c r="G21" s="43"/>
      <c r="H21" s="43"/>
    </row>
    <row r="22" spans="1:8" ht="30" customHeight="1" x14ac:dyDescent="0.25">
      <c r="A22" s="42" t="s">
        <v>24</v>
      </c>
      <c r="B22" s="43"/>
      <c r="C22" s="43"/>
      <c r="D22" s="43"/>
      <c r="E22" s="43"/>
      <c r="F22" s="43"/>
      <c r="G22" s="43"/>
      <c r="H22" s="43"/>
    </row>
    <row r="23" spans="1:8" ht="30" customHeight="1" x14ac:dyDescent="0.25">
      <c r="A23" s="42" t="s">
        <v>25</v>
      </c>
      <c r="B23" s="43"/>
      <c r="C23" s="43"/>
      <c r="D23" s="43"/>
      <c r="E23" s="43"/>
      <c r="F23" s="43"/>
      <c r="G23" s="43"/>
      <c r="H23" s="43"/>
    </row>
    <row r="24" spans="1:8" ht="30" customHeight="1" x14ac:dyDescent="0.25">
      <c r="A24" s="42" t="s">
        <v>26</v>
      </c>
      <c r="B24" s="43"/>
      <c r="C24" s="43"/>
      <c r="D24" s="43"/>
      <c r="E24" s="43"/>
      <c r="F24" s="43"/>
      <c r="G24" s="43"/>
      <c r="H24" s="43"/>
    </row>
    <row r="25" spans="1:8" ht="30" customHeight="1" x14ac:dyDescent="0.25">
      <c r="A25" s="42" t="s">
        <v>27</v>
      </c>
      <c r="B25" s="43"/>
      <c r="C25" s="43"/>
      <c r="D25" s="43"/>
      <c r="E25" s="43"/>
      <c r="F25" s="43"/>
      <c r="G25" s="43"/>
      <c r="H25" s="43"/>
    </row>
    <row r="26" spans="1:8" ht="30" customHeight="1" x14ac:dyDescent="0.25">
      <c r="A26" s="42" t="s">
        <v>28</v>
      </c>
      <c r="B26" s="43"/>
      <c r="C26" s="43"/>
      <c r="D26" s="43"/>
      <c r="E26" s="43"/>
      <c r="F26" s="43"/>
      <c r="G26" s="43"/>
      <c r="H26" s="43"/>
    </row>
  </sheetData>
  <mergeCells count="22">
    <mergeCell ref="A25:H25"/>
    <mergeCell ref="B16:H16"/>
    <mergeCell ref="B7:H7"/>
    <mergeCell ref="A26:H26"/>
    <mergeCell ref="A21:H21"/>
    <mergeCell ref="B18:H18"/>
    <mergeCell ref="B12:H12"/>
    <mergeCell ref="B11:H11"/>
    <mergeCell ref="A23:H23"/>
    <mergeCell ref="A22:H22"/>
    <mergeCell ref="B8:H8"/>
    <mergeCell ref="B17:H17"/>
    <mergeCell ref="B13:H13"/>
    <mergeCell ref="A20:H20"/>
    <mergeCell ref="B10:H10"/>
    <mergeCell ref="B9:H9"/>
    <mergeCell ref="A15:H15"/>
    <mergeCell ref="A24:H24"/>
    <mergeCell ref="A1:H1"/>
    <mergeCell ref="A6:H6"/>
    <mergeCell ref="A2:H2"/>
    <mergeCell ref="A4:H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showGridLines="0" workbookViewId="0">
      <selection activeCell="B15" sqref="B15"/>
    </sheetView>
  </sheetViews>
  <sheetFormatPr defaultRowHeight="15" x14ac:dyDescent="0.25"/>
  <cols>
    <col min="1" max="1" width="40" style="40" customWidth="1"/>
    <col min="2" max="2" width="16" style="40" customWidth="1"/>
    <col min="3" max="3" width="8" style="40" customWidth="1"/>
    <col min="4" max="4" width="55" style="40" customWidth="1"/>
  </cols>
  <sheetData>
    <row r="1" spans="1:4" ht="33.950000000000003" customHeight="1" x14ac:dyDescent="0.25">
      <c r="A1" s="45" t="s">
        <v>29</v>
      </c>
      <c r="B1" s="43"/>
      <c r="C1" s="43"/>
      <c r="D1" s="43"/>
    </row>
    <row r="2" spans="1:4" ht="18" customHeight="1" x14ac:dyDescent="0.25">
      <c r="A2" s="46" t="s">
        <v>30</v>
      </c>
      <c r="B2" s="43"/>
      <c r="C2" s="43"/>
      <c r="D2" s="43"/>
    </row>
    <row r="4" spans="1:4" ht="21.95" customHeight="1" x14ac:dyDescent="0.25">
      <c r="A4" s="44" t="s">
        <v>31</v>
      </c>
      <c r="B4" s="43"/>
      <c r="C4" s="43"/>
      <c r="D4" s="43"/>
    </row>
    <row r="5" spans="1:4" x14ac:dyDescent="0.25">
      <c r="A5" s="5" t="s">
        <v>32</v>
      </c>
      <c r="B5" s="5" t="s">
        <v>33</v>
      </c>
      <c r="C5" s="5" t="s">
        <v>34</v>
      </c>
      <c r="D5" s="5" t="s">
        <v>35</v>
      </c>
    </row>
    <row r="6" spans="1:4" x14ac:dyDescent="0.25">
      <c r="A6" s="6" t="s">
        <v>36</v>
      </c>
      <c r="B6" s="7">
        <v>0.1</v>
      </c>
      <c r="C6" t="s">
        <v>37</v>
      </c>
      <c r="D6" t="s">
        <v>38</v>
      </c>
    </row>
    <row r="7" spans="1:4" x14ac:dyDescent="0.25">
      <c r="A7" s="6" t="s">
        <v>39</v>
      </c>
      <c r="B7" s="7">
        <v>0.15</v>
      </c>
      <c r="C7" t="s">
        <v>37</v>
      </c>
      <c r="D7" t="s">
        <v>40</v>
      </c>
    </row>
    <row r="8" spans="1:4" x14ac:dyDescent="0.25">
      <c r="A8" s="6" t="s">
        <v>41</v>
      </c>
      <c r="B8" s="7">
        <v>0.05</v>
      </c>
      <c r="C8" t="s">
        <v>37</v>
      </c>
      <c r="D8" t="s">
        <v>42</v>
      </c>
    </row>
    <row r="10" spans="1:4" ht="21.95" customHeight="1" x14ac:dyDescent="0.25">
      <c r="A10" s="44" t="s">
        <v>43</v>
      </c>
      <c r="B10" s="43"/>
      <c r="C10" s="43"/>
      <c r="D10" s="43"/>
    </row>
    <row r="11" spans="1:4" x14ac:dyDescent="0.25">
      <c r="A11" s="6" t="s">
        <v>44</v>
      </c>
      <c r="B11" s="8">
        <v>0.95</v>
      </c>
      <c r="D11" t="s">
        <v>45</v>
      </c>
    </row>
    <row r="12" spans="1:4" x14ac:dyDescent="0.25">
      <c r="A12" s="6" t="s">
        <v>46</v>
      </c>
      <c r="B12" s="8">
        <v>0.85</v>
      </c>
      <c r="D12" t="s">
        <v>47</v>
      </c>
    </row>
    <row r="14" spans="1:4" ht="21.95" customHeight="1" x14ac:dyDescent="0.25">
      <c r="A14" s="44" t="s">
        <v>48</v>
      </c>
      <c r="B14" s="43"/>
      <c r="C14" s="43"/>
      <c r="D14" s="43"/>
    </row>
    <row r="15" spans="1:4" x14ac:dyDescent="0.25">
      <c r="A15" s="6" t="s">
        <v>49</v>
      </c>
      <c r="B15" s="9">
        <v>46388</v>
      </c>
      <c r="D15" t="s">
        <v>50</v>
      </c>
    </row>
    <row r="16" spans="1:4" x14ac:dyDescent="0.25">
      <c r="A16" s="6" t="s">
        <v>51</v>
      </c>
      <c r="B16" s="9">
        <v>46507</v>
      </c>
      <c r="D16" t="s">
        <v>52</v>
      </c>
    </row>
    <row r="17" spans="1:4" x14ac:dyDescent="0.25">
      <c r="A17" s="6" t="s">
        <v>53</v>
      </c>
      <c r="B17" s="10">
        <v>10</v>
      </c>
      <c r="C17" t="s">
        <v>54</v>
      </c>
      <c r="D17" t="s">
        <v>55</v>
      </c>
    </row>
    <row r="19" spans="1:4" ht="21.95" customHeight="1" x14ac:dyDescent="0.25">
      <c r="A19" s="44" t="s">
        <v>56</v>
      </c>
      <c r="B19" s="43"/>
      <c r="C19" s="43"/>
      <c r="D19" s="43"/>
    </row>
    <row r="20" spans="1:4" x14ac:dyDescent="0.25">
      <c r="A20" s="6" t="s">
        <v>57</v>
      </c>
      <c r="B20" s="11">
        <v>14</v>
      </c>
      <c r="C20" t="s">
        <v>54</v>
      </c>
      <c r="D20" t="s">
        <v>58</v>
      </c>
    </row>
    <row r="21" spans="1:4" x14ac:dyDescent="0.25">
      <c r="A21" s="6" t="s">
        <v>59</v>
      </c>
      <c r="B21" s="12">
        <v>12000</v>
      </c>
      <c r="C21" t="s">
        <v>60</v>
      </c>
      <c r="D21" t="s">
        <v>61</v>
      </c>
    </row>
    <row r="22" spans="1:4" x14ac:dyDescent="0.25">
      <c r="A22" s="6" t="s">
        <v>62</v>
      </c>
      <c r="B22" s="13">
        <v>4</v>
      </c>
      <c r="D22" t="s">
        <v>63</v>
      </c>
    </row>
  </sheetData>
  <mergeCells count="6">
    <mergeCell ref="A1:D1"/>
    <mergeCell ref="A4:D4"/>
    <mergeCell ref="A2:D2"/>
    <mergeCell ref="A19:D19"/>
    <mergeCell ref="A10:D10"/>
    <mergeCell ref="A14:D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35"/>
  <sheetViews>
    <sheetView showGridLines="0" tabSelected="1" workbookViewId="0">
      <pane xSplit="2" ySplit="3" topLeftCell="C4" activePane="bottomRight" state="frozen"/>
      <selection pane="topRight"/>
      <selection pane="bottomLeft"/>
      <selection pane="bottomRight" activeCell="S13" sqref="S13"/>
    </sheetView>
  </sheetViews>
  <sheetFormatPr defaultRowHeight="15" x14ac:dyDescent="0.25"/>
  <cols>
    <col min="1" max="1" width="47.5703125" style="40" bestFit="1" customWidth="1"/>
    <col min="2" max="2" width="36.85546875" style="40" bestFit="1" customWidth="1"/>
    <col min="3" max="3" width="11.140625" style="40" bestFit="1" customWidth="1"/>
    <col min="4" max="4" width="11" style="40" bestFit="1" customWidth="1"/>
    <col min="5" max="5" width="15" style="40" bestFit="1" customWidth="1"/>
    <col min="6" max="6" width="6.85546875" style="40" bestFit="1" customWidth="1"/>
    <col min="7" max="7" width="7.140625" style="40" bestFit="1" customWidth="1"/>
    <col min="8" max="8" width="6.5703125" style="40" bestFit="1" customWidth="1"/>
    <col min="9" max="9" width="9.28515625" style="40" bestFit="1" customWidth="1"/>
    <col min="10" max="10" width="10.140625" style="40" bestFit="1" customWidth="1"/>
    <col min="11" max="11" width="12.85546875" style="40" bestFit="1" customWidth="1"/>
    <col min="12" max="12" width="13" style="40" bestFit="1" customWidth="1"/>
    <col min="13" max="13" width="16.42578125" style="40" bestFit="1" customWidth="1"/>
    <col min="14" max="14" width="12.5703125" style="40" bestFit="1" customWidth="1"/>
    <col min="15" max="15" width="16" style="40" bestFit="1" customWidth="1"/>
    <col min="16" max="16" width="15.7109375" style="40" bestFit="1" customWidth="1"/>
    <col min="17" max="17" width="17" style="40" bestFit="1" customWidth="1"/>
    <col min="18" max="18" width="15.85546875" style="40" bestFit="1" customWidth="1"/>
    <col min="19" max="19" width="13.140625" style="40" bestFit="1" customWidth="1"/>
    <col min="20" max="20" width="12.85546875" style="40" bestFit="1" customWidth="1"/>
    <col min="21" max="21" width="12.42578125" style="40" bestFit="1" customWidth="1"/>
    <col min="22" max="22" width="11.7109375" style="40" bestFit="1" customWidth="1"/>
  </cols>
  <sheetData>
    <row r="1" spans="1:22" ht="33.950000000000003" customHeight="1" x14ac:dyDescent="0.25">
      <c r="A1" s="45" t="s">
        <v>64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3" spans="1:22" ht="30" customHeight="1" x14ac:dyDescent="0.25">
      <c r="A3" s="14" t="s">
        <v>65</v>
      </c>
      <c r="B3" s="14" t="s">
        <v>66</v>
      </c>
      <c r="C3" s="14" t="s">
        <v>67</v>
      </c>
      <c r="D3" s="14" t="s">
        <v>68</v>
      </c>
      <c r="E3" s="14" t="s">
        <v>69</v>
      </c>
      <c r="F3" s="14" t="s">
        <v>70</v>
      </c>
      <c r="G3" s="14" t="s">
        <v>71</v>
      </c>
      <c r="H3" s="14" t="s">
        <v>72</v>
      </c>
      <c r="I3" s="14" t="s">
        <v>73</v>
      </c>
      <c r="J3" s="14" t="s">
        <v>74</v>
      </c>
      <c r="K3" s="14" t="s">
        <v>75</v>
      </c>
      <c r="L3" s="14" t="s">
        <v>76</v>
      </c>
      <c r="M3" s="14" t="s">
        <v>77</v>
      </c>
      <c r="N3" s="14" t="s">
        <v>78</v>
      </c>
      <c r="O3" s="14" t="s">
        <v>79</v>
      </c>
      <c r="P3" s="14" t="s">
        <v>80</v>
      </c>
      <c r="Q3" s="14" t="s">
        <v>81</v>
      </c>
      <c r="R3" s="14" t="s">
        <v>82</v>
      </c>
      <c r="S3" s="14" t="s">
        <v>83</v>
      </c>
      <c r="T3" s="14" t="s">
        <v>84</v>
      </c>
      <c r="U3" s="14" t="s">
        <v>85</v>
      </c>
      <c r="V3" s="14" t="s">
        <v>86</v>
      </c>
    </row>
    <row r="4" spans="1:22" x14ac:dyDescent="0.25">
      <c r="A4" s="15">
        <v>1.1000000000000001</v>
      </c>
      <c r="B4" s="15" t="s">
        <v>87</v>
      </c>
      <c r="C4" s="15" t="s">
        <v>88</v>
      </c>
      <c r="D4" s="15" t="s">
        <v>89</v>
      </c>
      <c r="E4" s="16">
        <v>71.625</v>
      </c>
      <c r="F4" s="10">
        <v>8</v>
      </c>
      <c r="G4" s="10">
        <v>11</v>
      </c>
      <c r="H4" s="10">
        <v>13</v>
      </c>
      <c r="I4" s="17">
        <f t="shared" ref="I4:I20" si="0">IF(A4="","",(F4+4*G4+H4)/6)</f>
        <v>10.833333333333334</v>
      </c>
      <c r="J4" s="17">
        <f t="shared" ref="J4:J20" si="1">IF(A4="","",(H4-F4)/6)</f>
        <v>0.83333333333333337</v>
      </c>
      <c r="K4" s="18">
        <v>8</v>
      </c>
      <c r="L4" s="19">
        <f t="shared" ref="L4:L20" si="2">IF(A4="","",I4*K4)</f>
        <v>86.666666666666671</v>
      </c>
      <c r="M4" s="20">
        <f t="shared" ref="M4:M20" si="3">IF(A4="","",L4*E4)</f>
        <v>6207.5</v>
      </c>
      <c r="N4" s="12">
        <v>0</v>
      </c>
      <c r="O4" s="12">
        <v>0</v>
      </c>
      <c r="P4" s="20">
        <f t="shared" ref="P4:P20" si="4">IF(A4="","",M4+N4+O4)</f>
        <v>6207.5</v>
      </c>
      <c r="Q4" s="20">
        <f>IF(A4="","",P4*Parametri!$B$6)</f>
        <v>620.75</v>
      </c>
      <c r="R4" s="20">
        <f t="shared" ref="R4:R20" si="5">IF(A4="","",P4+Q4)</f>
        <v>6828.25</v>
      </c>
      <c r="S4" s="9">
        <v>46023</v>
      </c>
      <c r="T4" s="10">
        <f>TabellaWBS[[#This Row],[PERT]]</f>
        <v>10.833333333333334</v>
      </c>
      <c r="U4" s="21">
        <f t="shared" ref="U4:U20" si="6">IF(A4="","",S4+T4)</f>
        <v>46033.833333333336</v>
      </c>
      <c r="V4" s="22">
        <f>IF(A4="","",IFERROR(R4/SUM(TabellaWBS[CostoAttivita]),""))</f>
        <v>0.14038876889848811</v>
      </c>
    </row>
    <row r="5" spans="1:22" x14ac:dyDescent="0.25">
      <c r="A5" s="15">
        <v>1.2</v>
      </c>
      <c r="B5" s="15" t="s">
        <v>90</v>
      </c>
      <c r="C5" s="15" t="s">
        <v>88</v>
      </c>
      <c r="D5" s="15" t="s">
        <v>89</v>
      </c>
      <c r="E5" s="16">
        <v>71.625</v>
      </c>
      <c r="F5" s="10">
        <v>8</v>
      </c>
      <c r="G5" s="10">
        <v>11</v>
      </c>
      <c r="H5" s="10">
        <v>13</v>
      </c>
      <c r="I5" s="17">
        <f t="shared" si="0"/>
        <v>10.833333333333334</v>
      </c>
      <c r="J5" s="17">
        <f t="shared" si="1"/>
        <v>0.83333333333333337</v>
      </c>
      <c r="K5" s="18">
        <v>8</v>
      </c>
      <c r="L5" s="19">
        <f t="shared" si="2"/>
        <v>86.666666666666671</v>
      </c>
      <c r="M5" s="20">
        <f t="shared" si="3"/>
        <v>6207.5</v>
      </c>
      <c r="N5" s="12">
        <v>0</v>
      </c>
      <c r="O5" s="12">
        <v>0</v>
      </c>
      <c r="P5" s="20">
        <f t="shared" si="4"/>
        <v>6207.5</v>
      </c>
      <c r="Q5" s="20">
        <f>IF(A5="","",P5*Parametri!$B$6)</f>
        <v>620.75</v>
      </c>
      <c r="R5" s="20">
        <f t="shared" si="5"/>
        <v>6828.25</v>
      </c>
      <c r="S5" s="9">
        <v>46023</v>
      </c>
      <c r="T5" s="10">
        <f>TabellaWBS[[#This Row],[PERT]]</f>
        <v>10.833333333333334</v>
      </c>
      <c r="U5" s="21">
        <f t="shared" si="6"/>
        <v>46033.833333333336</v>
      </c>
      <c r="V5" s="22">
        <f>IF(A5="","",IFERROR(R5/SUM(TabellaWBS[CostoAttivita]),""))</f>
        <v>0.14038876889848811</v>
      </c>
    </row>
    <row r="6" spans="1:22" x14ac:dyDescent="0.25">
      <c r="A6" s="15">
        <v>1.3</v>
      </c>
      <c r="B6" s="15" t="s">
        <v>91</v>
      </c>
      <c r="C6" s="15" t="s">
        <v>88</v>
      </c>
      <c r="D6" s="15" t="s">
        <v>89</v>
      </c>
      <c r="E6" s="16">
        <v>71.625</v>
      </c>
      <c r="F6" s="10">
        <v>8</v>
      </c>
      <c r="G6" s="10">
        <v>11</v>
      </c>
      <c r="H6" s="10">
        <v>13</v>
      </c>
      <c r="I6" s="17">
        <f t="shared" si="0"/>
        <v>10.833333333333334</v>
      </c>
      <c r="J6" s="17">
        <f t="shared" si="1"/>
        <v>0.83333333333333337</v>
      </c>
      <c r="K6" s="18">
        <v>8</v>
      </c>
      <c r="L6" s="19">
        <f t="shared" si="2"/>
        <v>86.666666666666671</v>
      </c>
      <c r="M6" s="20">
        <f t="shared" si="3"/>
        <v>6207.5</v>
      </c>
      <c r="N6" s="12">
        <v>0</v>
      </c>
      <c r="O6" s="12">
        <v>0</v>
      </c>
      <c r="P6" s="20">
        <f t="shared" si="4"/>
        <v>6207.5</v>
      </c>
      <c r="Q6" s="20">
        <f>IF(A6="","",P6*Parametri!$B$6)</f>
        <v>620.75</v>
      </c>
      <c r="R6" s="20">
        <f t="shared" si="5"/>
        <v>6828.25</v>
      </c>
      <c r="S6" s="9">
        <v>46037</v>
      </c>
      <c r="T6" s="10">
        <f>TabellaWBS[[#This Row],[PERT]]</f>
        <v>10.833333333333334</v>
      </c>
      <c r="U6" s="21">
        <f t="shared" si="6"/>
        <v>46047.833333333336</v>
      </c>
      <c r="V6" s="22">
        <f>IF(A6="","",IFERROR(R6/SUM(TabellaWBS[CostoAttivita]),""))</f>
        <v>0.14038876889848811</v>
      </c>
    </row>
    <row r="7" spans="1:22" x14ac:dyDescent="0.25">
      <c r="A7" s="15">
        <v>1.4</v>
      </c>
      <c r="B7" s="15" t="s">
        <v>92</v>
      </c>
      <c r="C7" s="15" t="s">
        <v>88</v>
      </c>
      <c r="D7" s="15" t="s">
        <v>89</v>
      </c>
      <c r="E7" s="16">
        <v>71.625</v>
      </c>
      <c r="F7" s="10">
        <v>8</v>
      </c>
      <c r="G7" s="10">
        <v>11</v>
      </c>
      <c r="H7" s="10">
        <v>13</v>
      </c>
      <c r="I7" s="17">
        <f t="shared" si="0"/>
        <v>10.833333333333334</v>
      </c>
      <c r="J7" s="17">
        <f t="shared" si="1"/>
        <v>0.83333333333333337</v>
      </c>
      <c r="K7" s="18">
        <v>8</v>
      </c>
      <c r="L7" s="19">
        <f t="shared" si="2"/>
        <v>86.666666666666671</v>
      </c>
      <c r="M7" s="20">
        <f t="shared" si="3"/>
        <v>6207.5</v>
      </c>
      <c r="N7" s="12">
        <v>0</v>
      </c>
      <c r="O7" s="12">
        <v>0</v>
      </c>
      <c r="P7" s="20">
        <f t="shared" si="4"/>
        <v>6207.5</v>
      </c>
      <c r="Q7" s="20">
        <f>IF(A7="","",P7*Parametri!$B$6)</f>
        <v>620.75</v>
      </c>
      <c r="R7" s="20">
        <f t="shared" si="5"/>
        <v>6828.25</v>
      </c>
      <c r="S7" s="9">
        <v>46037</v>
      </c>
      <c r="T7" s="10">
        <f>TabellaWBS[[#This Row],[PERT]]</f>
        <v>10.833333333333334</v>
      </c>
      <c r="U7" s="21">
        <f t="shared" si="6"/>
        <v>46047.833333333336</v>
      </c>
      <c r="V7" s="22">
        <f>IF(A7="","",IFERROR(R7/SUM(TabellaWBS[CostoAttivita]),""))</f>
        <v>0.14038876889848811</v>
      </c>
    </row>
    <row r="8" spans="1:22" x14ac:dyDescent="0.25">
      <c r="A8" s="15">
        <v>1.5</v>
      </c>
      <c r="B8" s="15" t="s">
        <v>93</v>
      </c>
      <c r="C8" s="15" t="s">
        <v>88</v>
      </c>
      <c r="D8" s="15" t="s">
        <v>89</v>
      </c>
      <c r="E8" s="16">
        <v>71.625</v>
      </c>
      <c r="F8" s="10">
        <v>8</v>
      </c>
      <c r="G8" s="10">
        <v>11</v>
      </c>
      <c r="H8" s="10">
        <v>13</v>
      </c>
      <c r="I8" s="17">
        <f t="shared" si="0"/>
        <v>10.833333333333334</v>
      </c>
      <c r="J8" s="17">
        <f t="shared" si="1"/>
        <v>0.83333333333333337</v>
      </c>
      <c r="K8" s="18">
        <v>8</v>
      </c>
      <c r="L8" s="19">
        <f t="shared" si="2"/>
        <v>86.666666666666671</v>
      </c>
      <c r="M8" s="20">
        <f t="shared" si="3"/>
        <v>6207.5</v>
      </c>
      <c r="N8" s="12">
        <v>0</v>
      </c>
      <c r="O8" s="12">
        <v>0</v>
      </c>
      <c r="P8" s="20">
        <f t="shared" si="4"/>
        <v>6207.5</v>
      </c>
      <c r="Q8" s="20">
        <f>IF(A8="","",P8*Parametri!$B$6)</f>
        <v>620.75</v>
      </c>
      <c r="R8" s="20">
        <f t="shared" si="5"/>
        <v>6828.25</v>
      </c>
      <c r="S8" s="9">
        <v>46049</v>
      </c>
      <c r="T8" s="10">
        <f>TabellaWBS[[#This Row],[PERT]]</f>
        <v>10.833333333333334</v>
      </c>
      <c r="U8" s="21">
        <f t="shared" si="6"/>
        <v>46059.833333333336</v>
      </c>
      <c r="V8" s="22">
        <f>IF(A8="","",IFERROR(R8/SUM(TabellaWBS[CostoAttivita]),""))</f>
        <v>0.14038876889848811</v>
      </c>
    </row>
    <row r="9" spans="1:22" x14ac:dyDescent="0.25">
      <c r="A9" s="15">
        <v>1.6</v>
      </c>
      <c r="B9" s="15" t="s">
        <v>94</v>
      </c>
      <c r="C9" s="15" t="s">
        <v>88</v>
      </c>
      <c r="D9" s="15" t="s">
        <v>89</v>
      </c>
      <c r="E9" s="16">
        <v>71.625</v>
      </c>
      <c r="F9" s="10">
        <v>4</v>
      </c>
      <c r="G9" s="10">
        <v>5</v>
      </c>
      <c r="H9" s="10">
        <v>6</v>
      </c>
      <c r="I9" s="17">
        <f t="shared" si="0"/>
        <v>5</v>
      </c>
      <c r="J9" s="17">
        <f t="shared" si="1"/>
        <v>0.33333333333333331</v>
      </c>
      <c r="K9" s="18">
        <v>8</v>
      </c>
      <c r="L9" s="19">
        <f t="shared" si="2"/>
        <v>40</v>
      </c>
      <c r="M9" s="20">
        <f t="shared" si="3"/>
        <v>2865</v>
      </c>
      <c r="N9" s="12">
        <v>0</v>
      </c>
      <c r="O9" s="12">
        <v>0</v>
      </c>
      <c r="P9" s="20">
        <f t="shared" si="4"/>
        <v>2865</v>
      </c>
      <c r="Q9" s="20">
        <f>IF(A9="","",P9*Parametri!$B$6)</f>
        <v>286.5</v>
      </c>
      <c r="R9" s="20">
        <f t="shared" si="5"/>
        <v>3151.5</v>
      </c>
      <c r="S9" s="9">
        <v>46049</v>
      </c>
      <c r="T9" s="10">
        <f>TabellaWBS[[#This Row],[PERT]]</f>
        <v>5</v>
      </c>
      <c r="U9" s="21">
        <f t="shared" si="6"/>
        <v>46054</v>
      </c>
      <c r="V9" s="22">
        <f>IF(A9="","",IFERROR(R9/SUM(TabellaWBS[CostoAttivita]),""))</f>
        <v>6.4794816414686818E-2</v>
      </c>
    </row>
    <row r="10" spans="1:22" x14ac:dyDescent="0.25">
      <c r="A10" s="15">
        <v>1.7</v>
      </c>
      <c r="B10" s="15" t="s">
        <v>95</v>
      </c>
      <c r="C10" s="15" t="s">
        <v>88</v>
      </c>
      <c r="D10" s="15" t="s">
        <v>89</v>
      </c>
      <c r="E10" s="16">
        <v>71.625</v>
      </c>
      <c r="F10" s="10">
        <v>4</v>
      </c>
      <c r="G10" s="10">
        <v>5</v>
      </c>
      <c r="H10" s="10">
        <v>6</v>
      </c>
      <c r="I10" s="17">
        <f t="shared" si="0"/>
        <v>5</v>
      </c>
      <c r="J10" s="17">
        <f t="shared" si="1"/>
        <v>0.33333333333333331</v>
      </c>
      <c r="K10" s="18">
        <v>8</v>
      </c>
      <c r="L10" s="19">
        <f t="shared" si="2"/>
        <v>40</v>
      </c>
      <c r="M10" s="20">
        <f t="shared" si="3"/>
        <v>2865</v>
      </c>
      <c r="N10" s="12">
        <v>0</v>
      </c>
      <c r="O10" s="12">
        <v>0</v>
      </c>
      <c r="P10" s="20">
        <f t="shared" si="4"/>
        <v>2865</v>
      </c>
      <c r="Q10" s="20">
        <f>IF(A10="","",P10*Parametri!$B$6)</f>
        <v>286.5</v>
      </c>
      <c r="R10" s="20">
        <f t="shared" si="5"/>
        <v>3151.5</v>
      </c>
      <c r="S10" s="9">
        <v>46063</v>
      </c>
      <c r="T10" s="10">
        <f>TabellaWBS[[#This Row],[PERT]]</f>
        <v>5</v>
      </c>
      <c r="U10" s="21">
        <f t="shared" si="6"/>
        <v>46068</v>
      </c>
      <c r="V10" s="22">
        <f>IF(A10="","",IFERROR(R10/SUM(TabellaWBS[CostoAttivita]),""))</f>
        <v>6.4794816414686818E-2</v>
      </c>
    </row>
    <row r="11" spans="1:22" x14ac:dyDescent="0.25">
      <c r="A11" s="15">
        <v>1.8</v>
      </c>
      <c r="B11" s="15" t="s">
        <v>96</v>
      </c>
      <c r="C11" s="15" t="s">
        <v>88</v>
      </c>
      <c r="D11" s="15" t="s">
        <v>89</v>
      </c>
      <c r="E11" s="16">
        <v>71.625</v>
      </c>
      <c r="F11" s="10">
        <v>5</v>
      </c>
      <c r="G11" s="10">
        <v>7</v>
      </c>
      <c r="H11" s="10">
        <v>9</v>
      </c>
      <c r="I11" s="17">
        <f t="shared" si="0"/>
        <v>7</v>
      </c>
      <c r="J11" s="17">
        <f t="shared" si="1"/>
        <v>0.66666666666666663</v>
      </c>
      <c r="K11" s="18">
        <v>8</v>
      </c>
      <c r="L11" s="19">
        <f t="shared" si="2"/>
        <v>56</v>
      </c>
      <c r="M11" s="20">
        <f t="shared" si="3"/>
        <v>4011</v>
      </c>
      <c r="N11" s="12">
        <v>0</v>
      </c>
      <c r="O11" s="12">
        <v>0</v>
      </c>
      <c r="P11" s="20">
        <f t="shared" si="4"/>
        <v>4011</v>
      </c>
      <c r="Q11" s="20">
        <f>IF(A11="","",P11*Parametri!$B$6)</f>
        <v>401.1</v>
      </c>
      <c r="R11" s="20">
        <f t="shared" si="5"/>
        <v>4412.1000000000004</v>
      </c>
      <c r="S11" s="9">
        <v>46058</v>
      </c>
      <c r="T11" s="10">
        <f>TabellaWBS[[#This Row],[PERT]]</f>
        <v>7</v>
      </c>
      <c r="U11" s="21">
        <f t="shared" si="6"/>
        <v>46065</v>
      </c>
      <c r="V11" s="22">
        <f>IF(A11="","",IFERROR(R11/SUM(TabellaWBS[CostoAttivita]),""))</f>
        <v>9.0712742980561561E-2</v>
      </c>
    </row>
    <row r="12" spans="1:22" x14ac:dyDescent="0.25">
      <c r="A12" s="15">
        <v>1.9</v>
      </c>
      <c r="B12" s="15" t="s">
        <v>97</v>
      </c>
      <c r="C12" s="15" t="s">
        <v>88</v>
      </c>
      <c r="D12" s="15" t="s">
        <v>89</v>
      </c>
      <c r="E12" s="16">
        <v>71.625</v>
      </c>
      <c r="F12" s="10">
        <v>5</v>
      </c>
      <c r="G12" s="10">
        <v>6</v>
      </c>
      <c r="H12" s="10">
        <v>7</v>
      </c>
      <c r="I12" s="17">
        <f t="shared" si="0"/>
        <v>6</v>
      </c>
      <c r="J12" s="17">
        <f t="shared" si="1"/>
        <v>0.33333333333333331</v>
      </c>
      <c r="K12" s="18">
        <v>8</v>
      </c>
      <c r="L12" s="19">
        <f t="shared" si="2"/>
        <v>48</v>
      </c>
      <c r="M12" s="20">
        <f t="shared" si="3"/>
        <v>3438</v>
      </c>
      <c r="N12" s="12">
        <v>0</v>
      </c>
      <c r="O12" s="12">
        <v>0</v>
      </c>
      <c r="P12" s="20">
        <f t="shared" si="4"/>
        <v>3438</v>
      </c>
      <c r="Q12" s="20">
        <f>IF(A12="","",P12*Parametri!$B$6)</f>
        <v>343.8</v>
      </c>
      <c r="R12" s="20">
        <f t="shared" si="5"/>
        <v>3781.8</v>
      </c>
      <c r="S12" s="9">
        <v>46073</v>
      </c>
      <c r="T12" s="10">
        <f>TabellaWBS[[#This Row],[PERT]]</f>
        <v>6</v>
      </c>
      <c r="U12" s="21">
        <f t="shared" si="6"/>
        <v>46079</v>
      </c>
      <c r="V12" s="22">
        <f>IF(A12="","",IFERROR(R12/SUM(TabellaWBS[CostoAttivita]),""))</f>
        <v>7.775377969762419E-2</v>
      </c>
    </row>
    <row r="13" spans="1:22" x14ac:dyDescent="0.25">
      <c r="A13" s="15"/>
      <c r="B13" s="15"/>
      <c r="C13" s="15"/>
      <c r="D13" s="15"/>
      <c r="E13" s="16"/>
      <c r="F13" s="10"/>
      <c r="G13" s="10"/>
      <c r="H13" s="10"/>
      <c r="I13" s="17" t="str">
        <f t="shared" si="0"/>
        <v/>
      </c>
      <c r="J13" s="17" t="str">
        <f t="shared" si="1"/>
        <v/>
      </c>
      <c r="K13" s="18"/>
      <c r="L13" s="19" t="str">
        <f t="shared" si="2"/>
        <v/>
      </c>
      <c r="M13" s="20" t="str">
        <f t="shared" si="3"/>
        <v/>
      </c>
      <c r="N13" s="12"/>
      <c r="O13" s="12"/>
      <c r="P13" s="20" t="str">
        <f t="shared" si="4"/>
        <v/>
      </c>
      <c r="Q13" s="20" t="str">
        <f>IF(A13="","",P13*Parametri!$B$6)</f>
        <v/>
      </c>
      <c r="R13" s="20" t="str">
        <f t="shared" si="5"/>
        <v/>
      </c>
      <c r="S13" s="9"/>
      <c r="T13" s="10" t="str">
        <f>TabellaWBS[[#This Row],[PERT]]</f>
        <v/>
      </c>
      <c r="U13" s="21" t="str">
        <f t="shared" si="6"/>
        <v/>
      </c>
      <c r="V13" s="22" t="str">
        <f>IF(A13="","",IFERROR(R13/SUM(TabellaWBS[CostoAttivita]),""))</f>
        <v/>
      </c>
    </row>
    <row r="14" spans="1:22" x14ac:dyDescent="0.25">
      <c r="A14" s="15"/>
      <c r="B14" s="15"/>
      <c r="C14" s="15"/>
      <c r="D14" s="15"/>
      <c r="E14" s="16"/>
      <c r="F14" s="10"/>
      <c r="G14" s="10"/>
      <c r="H14" s="10"/>
      <c r="I14" s="17" t="str">
        <f t="shared" si="0"/>
        <v/>
      </c>
      <c r="J14" s="17" t="str">
        <f t="shared" si="1"/>
        <v/>
      </c>
      <c r="K14" s="18"/>
      <c r="L14" s="19" t="str">
        <f t="shared" si="2"/>
        <v/>
      </c>
      <c r="M14" s="20" t="str">
        <f t="shared" si="3"/>
        <v/>
      </c>
      <c r="N14" s="12"/>
      <c r="O14" s="12"/>
      <c r="P14" s="20" t="str">
        <f t="shared" si="4"/>
        <v/>
      </c>
      <c r="Q14" s="20" t="str">
        <f>IF(A14="","",P14*Parametri!$B$6)</f>
        <v/>
      </c>
      <c r="R14" s="20" t="str">
        <f t="shared" si="5"/>
        <v/>
      </c>
      <c r="S14" s="9"/>
      <c r="T14" s="10" t="str">
        <f>TabellaWBS[[#This Row],[PERT]]</f>
        <v/>
      </c>
      <c r="U14" s="21" t="str">
        <f t="shared" si="6"/>
        <v/>
      </c>
      <c r="V14" s="22" t="str">
        <f>IF(A14="","",IFERROR(R14/SUM(TabellaWBS[CostoAttivita]),""))</f>
        <v/>
      </c>
    </row>
    <row r="15" spans="1:22" x14ac:dyDescent="0.25">
      <c r="A15" s="15"/>
      <c r="B15" s="15"/>
      <c r="C15" s="15"/>
      <c r="D15" s="15"/>
      <c r="E15" s="16"/>
      <c r="F15" s="10"/>
      <c r="G15" s="10"/>
      <c r="H15" s="10"/>
      <c r="I15" s="17" t="str">
        <f t="shared" si="0"/>
        <v/>
      </c>
      <c r="J15" s="17" t="str">
        <f t="shared" si="1"/>
        <v/>
      </c>
      <c r="K15" s="18"/>
      <c r="L15" s="19" t="str">
        <f t="shared" si="2"/>
        <v/>
      </c>
      <c r="M15" s="20" t="str">
        <f t="shared" si="3"/>
        <v/>
      </c>
      <c r="N15" s="12"/>
      <c r="O15" s="12"/>
      <c r="P15" s="20" t="str">
        <f t="shared" si="4"/>
        <v/>
      </c>
      <c r="Q15" s="20" t="str">
        <f>IF(A15="","",P15*Parametri!$B$6)</f>
        <v/>
      </c>
      <c r="R15" s="20" t="str">
        <f t="shared" si="5"/>
        <v/>
      </c>
      <c r="S15" s="9"/>
      <c r="T15" s="10" t="str">
        <f>TabellaWBS[[#This Row],[PERT]]</f>
        <v/>
      </c>
      <c r="U15" s="21" t="str">
        <f t="shared" si="6"/>
        <v/>
      </c>
      <c r="V15" s="22" t="str">
        <f>IF(A15="","",IFERROR(R15/SUM(TabellaWBS[CostoAttivita]),""))</f>
        <v/>
      </c>
    </row>
    <row r="16" spans="1:22" x14ac:dyDescent="0.25">
      <c r="A16" s="15"/>
      <c r="B16" s="15"/>
      <c r="C16" s="15"/>
      <c r="D16" s="15"/>
      <c r="E16" s="16"/>
      <c r="F16" s="10"/>
      <c r="G16" s="10"/>
      <c r="H16" s="10"/>
      <c r="I16" s="17" t="str">
        <f t="shared" si="0"/>
        <v/>
      </c>
      <c r="J16" s="17" t="str">
        <f t="shared" si="1"/>
        <v/>
      </c>
      <c r="K16" s="18"/>
      <c r="L16" s="19" t="str">
        <f t="shared" si="2"/>
        <v/>
      </c>
      <c r="M16" s="20" t="str">
        <f t="shared" si="3"/>
        <v/>
      </c>
      <c r="N16" s="12"/>
      <c r="O16" s="12"/>
      <c r="P16" s="20" t="str">
        <f t="shared" si="4"/>
        <v/>
      </c>
      <c r="Q16" s="20" t="str">
        <f>IF(A16="","",P16*Parametri!$B$6)</f>
        <v/>
      </c>
      <c r="R16" s="20" t="str">
        <f t="shared" si="5"/>
        <v/>
      </c>
      <c r="S16" s="9"/>
      <c r="T16" s="10" t="str">
        <f>TabellaWBS[[#This Row],[PERT]]</f>
        <v/>
      </c>
      <c r="U16" s="21" t="str">
        <f t="shared" si="6"/>
        <v/>
      </c>
      <c r="V16" s="22" t="str">
        <f>IF(A16="","",IFERROR(R16/SUM(TabellaWBS[CostoAttivita]),""))</f>
        <v/>
      </c>
    </row>
    <row r="17" spans="1:22" x14ac:dyDescent="0.25">
      <c r="A17" s="15"/>
      <c r="B17" s="15"/>
      <c r="C17" s="15"/>
      <c r="D17" s="15"/>
      <c r="E17" s="16"/>
      <c r="F17" s="10"/>
      <c r="G17" s="10"/>
      <c r="H17" s="10"/>
      <c r="I17" s="17" t="str">
        <f t="shared" si="0"/>
        <v/>
      </c>
      <c r="J17" s="17" t="str">
        <f t="shared" si="1"/>
        <v/>
      </c>
      <c r="K17" s="18"/>
      <c r="L17" s="19" t="str">
        <f t="shared" si="2"/>
        <v/>
      </c>
      <c r="M17" s="20" t="str">
        <f t="shared" si="3"/>
        <v/>
      </c>
      <c r="N17" s="12"/>
      <c r="O17" s="12"/>
      <c r="P17" s="20" t="str">
        <f t="shared" si="4"/>
        <v/>
      </c>
      <c r="Q17" s="20" t="str">
        <f>IF(A17="","",P17*Parametri!$B$6)</f>
        <v/>
      </c>
      <c r="R17" s="20" t="str">
        <f t="shared" si="5"/>
        <v/>
      </c>
      <c r="S17" s="9"/>
      <c r="T17" s="10" t="str">
        <f>TabellaWBS[[#This Row],[PERT]]</f>
        <v/>
      </c>
      <c r="U17" s="21" t="str">
        <f t="shared" si="6"/>
        <v/>
      </c>
      <c r="V17" s="22" t="str">
        <f>IF(A17="","",IFERROR(R17/SUM(TabellaWBS[CostoAttivita]),""))</f>
        <v/>
      </c>
    </row>
    <row r="18" spans="1:22" x14ac:dyDescent="0.25">
      <c r="A18" s="15"/>
      <c r="B18" s="15"/>
      <c r="C18" s="15"/>
      <c r="D18" s="15"/>
      <c r="E18" s="16"/>
      <c r="F18" s="10"/>
      <c r="G18" s="10"/>
      <c r="H18" s="10"/>
      <c r="I18" s="17" t="str">
        <f t="shared" si="0"/>
        <v/>
      </c>
      <c r="J18" s="17" t="str">
        <f t="shared" si="1"/>
        <v/>
      </c>
      <c r="K18" s="18"/>
      <c r="L18" s="19" t="str">
        <f t="shared" si="2"/>
        <v/>
      </c>
      <c r="M18" s="20" t="str">
        <f t="shared" si="3"/>
        <v/>
      </c>
      <c r="N18" s="12"/>
      <c r="O18" s="12"/>
      <c r="P18" s="20" t="str">
        <f t="shared" si="4"/>
        <v/>
      </c>
      <c r="Q18" s="20" t="str">
        <f>IF(A18="","",P18*Parametri!$B$6)</f>
        <v/>
      </c>
      <c r="R18" s="20" t="str">
        <f t="shared" si="5"/>
        <v/>
      </c>
      <c r="S18" s="9"/>
      <c r="T18" s="10" t="str">
        <f>TabellaWBS[[#This Row],[PERT]]</f>
        <v/>
      </c>
      <c r="U18" s="21" t="str">
        <f t="shared" si="6"/>
        <v/>
      </c>
      <c r="V18" s="22" t="str">
        <f>IF(A18="","",IFERROR(R18/SUM(TabellaWBS[CostoAttivita]),""))</f>
        <v/>
      </c>
    </row>
    <row r="19" spans="1:22" x14ac:dyDescent="0.25">
      <c r="A19" s="15"/>
      <c r="B19" s="15"/>
      <c r="C19" s="15"/>
      <c r="D19" s="15"/>
      <c r="E19" s="16"/>
      <c r="F19" s="10"/>
      <c r="G19" s="10"/>
      <c r="H19" s="10"/>
      <c r="I19" s="17" t="str">
        <f t="shared" si="0"/>
        <v/>
      </c>
      <c r="J19" s="17" t="str">
        <f t="shared" si="1"/>
        <v/>
      </c>
      <c r="K19" s="18"/>
      <c r="L19" s="19" t="str">
        <f t="shared" si="2"/>
        <v/>
      </c>
      <c r="M19" s="20" t="str">
        <f t="shared" si="3"/>
        <v/>
      </c>
      <c r="N19" s="12"/>
      <c r="O19" s="12"/>
      <c r="P19" s="20" t="str">
        <f t="shared" si="4"/>
        <v/>
      </c>
      <c r="Q19" s="20" t="str">
        <f>IF(A19="","",P19*Parametri!$B$6)</f>
        <v/>
      </c>
      <c r="R19" s="20" t="str">
        <f t="shared" si="5"/>
        <v/>
      </c>
      <c r="S19" s="9"/>
      <c r="T19" s="10" t="str">
        <f>TabellaWBS[[#This Row],[PERT]]</f>
        <v/>
      </c>
      <c r="U19" s="21" t="str">
        <f t="shared" si="6"/>
        <v/>
      </c>
      <c r="V19" s="22" t="str">
        <f>IF(A19="","",IFERROR(R19/SUM(TabellaWBS[CostoAttivita]),""))</f>
        <v/>
      </c>
    </row>
    <row r="20" spans="1:22" x14ac:dyDescent="0.25">
      <c r="A20" s="15"/>
      <c r="B20" s="15"/>
      <c r="C20" s="15"/>
      <c r="D20" s="15"/>
      <c r="E20" s="16"/>
      <c r="F20" s="10"/>
      <c r="G20" s="10"/>
      <c r="H20" s="10"/>
      <c r="I20" s="17" t="str">
        <f t="shared" si="0"/>
        <v/>
      </c>
      <c r="J20" s="17" t="str">
        <f t="shared" si="1"/>
        <v/>
      </c>
      <c r="K20" s="18"/>
      <c r="L20" s="19" t="str">
        <f t="shared" si="2"/>
        <v/>
      </c>
      <c r="M20" s="20" t="str">
        <f t="shared" si="3"/>
        <v/>
      </c>
      <c r="N20" s="12"/>
      <c r="O20" s="12"/>
      <c r="P20" s="20" t="str">
        <f t="shared" si="4"/>
        <v/>
      </c>
      <c r="Q20" s="20" t="str">
        <f>IF(A20="","",P20*Parametri!$B$6)</f>
        <v/>
      </c>
      <c r="R20" s="20" t="str">
        <f t="shared" si="5"/>
        <v/>
      </c>
      <c r="S20" s="9"/>
      <c r="T20" s="10" t="str">
        <f>TabellaWBS[[#This Row],[PERT]]</f>
        <v/>
      </c>
      <c r="U20" s="21" t="str">
        <f t="shared" si="6"/>
        <v/>
      </c>
      <c r="V20" s="22" t="str">
        <f>IF(A20="","",IFERROR(R20/SUM(TabellaWBS[CostoAttivita]),""))</f>
        <v/>
      </c>
    </row>
    <row r="23" spans="1:22" ht="21.95" customHeight="1" x14ac:dyDescent="0.25">
      <c r="A23" s="44" t="s">
        <v>98</v>
      </c>
      <c r="B23" s="43"/>
      <c r="C23" s="43"/>
      <c r="D23" s="43"/>
      <c r="E23" s="43"/>
      <c r="F23" s="43"/>
      <c r="G23" s="43"/>
      <c r="H23" s="43"/>
    </row>
    <row r="24" spans="1:22" x14ac:dyDescent="0.25">
      <c r="A24" s="6" t="s">
        <v>99</v>
      </c>
      <c r="B24" s="17">
        <f>SUM(TabellaWBS[PERT])</f>
        <v>77.166666666666671</v>
      </c>
    </row>
    <row r="25" spans="1:22" x14ac:dyDescent="0.25">
      <c r="A25" s="6" t="s">
        <v>100</v>
      </c>
      <c r="B25" s="17">
        <f>SQRT(SUMSQ(TabellaWBS[Sigma]))</f>
        <v>2.0615528128088303</v>
      </c>
    </row>
    <row r="26" spans="1:22" x14ac:dyDescent="0.25">
      <c r="A26" s="6" t="s">
        <v>101</v>
      </c>
      <c r="B26" s="20">
        <f>SUM(TabellaWBS[CostoPersone])</f>
        <v>44216.5</v>
      </c>
    </row>
    <row r="27" spans="1:22" x14ac:dyDescent="0.25">
      <c r="A27" s="6" t="s">
        <v>102</v>
      </c>
      <c r="B27" s="20">
        <f>SUM(TabellaWBS[CostoDiretto])</f>
        <v>44216.5</v>
      </c>
    </row>
    <row r="28" spans="1:22" x14ac:dyDescent="0.25">
      <c r="A28" s="6" t="s">
        <v>103</v>
      </c>
      <c r="B28" s="20">
        <f>SUM(TabellaWBS[CostoIndiretto])</f>
        <v>4421.6499999999996</v>
      </c>
      <c r="G28" s="41"/>
    </row>
    <row r="29" spans="1:22" x14ac:dyDescent="0.25">
      <c r="A29" s="6" t="s">
        <v>104</v>
      </c>
      <c r="B29" s="20">
        <f>B27+B28</f>
        <v>48638.15</v>
      </c>
    </row>
    <row r="30" spans="1:22" x14ac:dyDescent="0.25">
      <c r="A30" s="6" t="s">
        <v>39</v>
      </c>
      <c r="B30" s="20">
        <f>B29*Parametri!$B$7</f>
        <v>7295.7224999999999</v>
      </c>
    </row>
    <row r="31" spans="1:22" ht="15.75" customHeight="1" x14ac:dyDescent="0.25">
      <c r="A31" s="23" t="s">
        <v>105</v>
      </c>
      <c r="B31" s="24">
        <f>B29+B30</f>
        <v>55933.872499999998</v>
      </c>
    </row>
    <row r="32" spans="1:22" x14ac:dyDescent="0.25">
      <c r="A32" s="6" t="s">
        <v>106</v>
      </c>
      <c r="B32" s="20">
        <f>B31*Parametri!$B$8</f>
        <v>2796.6936249999999</v>
      </c>
    </row>
    <row r="33" spans="1:2" x14ac:dyDescent="0.25">
      <c r="A33" s="6" t="s">
        <v>107</v>
      </c>
      <c r="B33" s="20">
        <f>B31+B32</f>
        <v>58730.566124999998</v>
      </c>
    </row>
    <row r="34" spans="1:2" x14ac:dyDescent="0.25">
      <c r="A34" s="6" t="s">
        <v>108</v>
      </c>
      <c r="B34" s="25">
        <f>IFERROR(B26/B24,"")</f>
        <v>573</v>
      </c>
    </row>
    <row r="35" spans="1:2" x14ac:dyDescent="0.25">
      <c r="A35" s="6" t="s">
        <v>109</v>
      </c>
      <c r="B35" s="26" t="str">
        <f>IFERROR("± "&amp;TEXT(B25*B34,"#,##0")&amp;" € (68% probability) on a BAC of "&amp;TEXT(B31,"#,##0")&amp;" €","")</f>
        <v>± 1,181 € (68% probability) on a BAC of 55,934 €</v>
      </c>
    </row>
  </sheetData>
  <mergeCells count="2">
    <mergeCell ref="A23:H23"/>
    <mergeCell ref="A1:V1"/>
  </mergeCells>
  <dataValidations count="1">
    <dataValidation type="list" allowBlank="1" sqref="C4:C20" xr:uid="{00000000-0002-0000-0200-000000000000}">
      <formula1>"Analisi,Realizzazione,Test,Rilascio,Gestione,Altro"</formula1>
    </dataValidation>
  </dataValidations>
  <pageMargins left="0.75" right="0.75" top="1" bottom="1" header="0.5" footer="0.5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33"/>
  <sheetViews>
    <sheetView showGridLines="0" workbookViewId="0">
      <pane xSplit="2" ySplit="3" topLeftCell="C4" activePane="bottomRight" state="frozen"/>
      <selection pane="topRight"/>
      <selection pane="bottomLeft"/>
      <selection pane="bottomRight" activeCell="G5" sqref="G5"/>
    </sheetView>
  </sheetViews>
  <sheetFormatPr defaultRowHeight="15" x14ac:dyDescent="0.25"/>
  <cols>
    <col min="1" max="1" width="12" style="40" customWidth="1"/>
    <col min="2" max="2" width="22" style="40" customWidth="1"/>
    <col min="3" max="4" width="12" style="40" customWidth="1"/>
    <col min="5" max="5" width="10" style="40" customWidth="1"/>
    <col min="6" max="7" width="12" style="40" customWidth="1"/>
    <col min="8" max="9" width="11" style="40" customWidth="1"/>
    <col min="10" max="11" width="9" style="40" customWidth="1"/>
    <col min="12" max="12" width="14" style="40" customWidth="1"/>
    <col min="13" max="16" width="12" style="40" customWidth="1"/>
    <col min="17" max="17" width="11" style="40" customWidth="1"/>
    <col min="18" max="18" width="9" style="40" customWidth="1"/>
    <col min="19" max="20" width="12" style="40" customWidth="1"/>
    <col min="21" max="22" width="11" style="40" customWidth="1"/>
  </cols>
  <sheetData>
    <row r="1" spans="1:22" ht="33.950000000000003" customHeight="1" x14ac:dyDescent="0.25">
      <c r="A1" s="45" t="s">
        <v>110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3" spans="1:22" ht="30" customHeight="1" x14ac:dyDescent="0.25">
      <c r="A3" s="14" t="s">
        <v>111</v>
      </c>
      <c r="B3" s="14" t="s">
        <v>112</v>
      </c>
      <c r="C3" s="14" t="s">
        <v>113</v>
      </c>
      <c r="D3" s="14" t="s">
        <v>114</v>
      </c>
      <c r="E3" s="14" t="s">
        <v>115</v>
      </c>
      <c r="F3" s="14" t="s">
        <v>116</v>
      </c>
      <c r="G3" s="14" t="s">
        <v>117</v>
      </c>
      <c r="H3" s="14" t="s">
        <v>118</v>
      </c>
      <c r="I3" s="14" t="s">
        <v>119</v>
      </c>
      <c r="J3" s="14" t="s">
        <v>120</v>
      </c>
      <c r="K3" s="14" t="s">
        <v>121</v>
      </c>
      <c r="L3" s="14" t="s">
        <v>122</v>
      </c>
      <c r="M3" s="14" t="s">
        <v>123</v>
      </c>
      <c r="N3" s="14" t="s">
        <v>124</v>
      </c>
      <c r="O3" s="14" t="s">
        <v>125</v>
      </c>
      <c r="P3" s="14" t="s">
        <v>126</v>
      </c>
      <c r="Q3" s="14" t="s">
        <v>127</v>
      </c>
      <c r="R3" s="14" t="s">
        <v>128</v>
      </c>
      <c r="S3" s="14" t="s">
        <v>129</v>
      </c>
      <c r="T3" s="14" t="s">
        <v>130</v>
      </c>
      <c r="U3" s="14" t="s">
        <v>131</v>
      </c>
      <c r="V3" s="14" t="s">
        <v>132</v>
      </c>
    </row>
    <row r="4" spans="1:22" x14ac:dyDescent="0.25">
      <c r="A4" s="37">
        <v>46023</v>
      </c>
      <c r="B4" s="15" t="s">
        <v>133</v>
      </c>
      <c r="C4" s="7">
        <v>0</v>
      </c>
      <c r="D4" s="20">
        <f>IF(A4="","",C4*'WBS e Stima Costi'!$B$31)</f>
        <v>0</v>
      </c>
      <c r="E4" s="7">
        <v>0</v>
      </c>
      <c r="F4" s="20">
        <f>IF(A4="","",E4*'WBS e Stima Costi'!$B$31)</f>
        <v>0</v>
      </c>
      <c r="G4" s="12">
        <v>2000</v>
      </c>
      <c r="H4" s="20">
        <f t="shared" ref="H4:H33" si="0">IF(A4="","",F4-G4)</f>
        <v>-2000</v>
      </c>
      <c r="I4" s="20">
        <f t="shared" ref="I4:I33" si="1">IF(A4="","",F4-D4)</f>
        <v>0</v>
      </c>
      <c r="J4" s="28">
        <f t="shared" ref="J4:J33" si="2">IF(A4="","",IFERROR(F4/G4,""))</f>
        <v>0</v>
      </c>
      <c r="K4" s="28" t="str">
        <f t="shared" ref="K4:K33" si="3">IF(A4="","",IFERROR(F4/D4,""))</f>
        <v/>
      </c>
      <c r="L4" s="29" t="str">
        <f>IF(A4="","",IF(OR(J4="",K4=""),"",IF(AND(J4&gt;=Parametri!$B$11,K4&gt;=Parametri!$B$11),"Healthy",IF(AND(J4&gt;=Parametri!$B$12,K4&gt;=Parametri!$B$12),"Caution","Critical"))))</f>
        <v/>
      </c>
      <c r="M4" s="20" t="str">
        <f>IF(A4="","",IFERROR(('WBS e Stima Costi'!$B$31-F4)/J4,""))</f>
        <v/>
      </c>
      <c r="N4" s="20" t="e">
        <f t="shared" ref="N4:N33" si="4">IF(A4="","",G4+M4)</f>
        <v>#VALUE!</v>
      </c>
      <c r="O4" s="20">
        <f>IF(A4="","",G4+('WBS e Stima Costi'!$B$31-F4))</f>
        <v>57933.872499999998</v>
      </c>
      <c r="P4" s="20" t="str">
        <f>IF(A4="","",IFERROR('WBS e Stima Costi'!$B$31/J4,""))</f>
        <v/>
      </c>
      <c r="Q4" s="20" t="e">
        <f>IF(A4="","",'WBS e Stima Costi'!$B$31-N4)</f>
        <v>#VALUE!</v>
      </c>
      <c r="R4" s="28">
        <f>IF(A4="","",IFERROR(('WBS e Stima Costi'!$B$31-F4)/('WBS e Stima Costi'!$B$31-G4),""))</f>
        <v>1.0370824475843079</v>
      </c>
      <c r="S4" s="30">
        <f>IF(A4="","",G4)</f>
        <v>2000</v>
      </c>
      <c r="T4" s="30">
        <f>IF(A4="","",D4)</f>
        <v>0</v>
      </c>
      <c r="U4" s="28" t="str">
        <f t="shared" ref="U4:U33" si="5">IF(A4="","",IFERROR(S4/T4,""))</f>
        <v/>
      </c>
      <c r="V4" s="22">
        <f>IF(A4="","",IFERROR((A4-Parametri!$B$15)/(Parametri!$B$16-Parametri!$B$15),""))</f>
        <v>-3.0672268907563027</v>
      </c>
    </row>
    <row r="5" spans="1:22" x14ac:dyDescent="0.25">
      <c r="A5" s="37"/>
      <c r="B5" s="38"/>
      <c r="C5" s="7"/>
      <c r="D5" s="20" t="str">
        <f>IF(A5="","",C5*'WBS e Stima Costi'!$B$31)</f>
        <v/>
      </c>
      <c r="E5" s="7"/>
      <c r="F5" s="20" t="str">
        <f>IF(A5="","",E5*'WBS e Stima Costi'!$B$31)</f>
        <v/>
      </c>
      <c r="G5" s="12"/>
      <c r="H5" s="20" t="str">
        <f t="shared" si="0"/>
        <v/>
      </c>
      <c r="I5" s="20" t="str">
        <f t="shared" si="1"/>
        <v/>
      </c>
      <c r="J5" s="28" t="str">
        <f t="shared" si="2"/>
        <v/>
      </c>
      <c r="K5" s="28" t="str">
        <f t="shared" si="3"/>
        <v/>
      </c>
      <c r="L5" s="29" t="str">
        <f>IF(A5="","",IF(OR(J5="",K5=""),"",IF(AND(J5&gt;=Parametri!$B$11,K5&gt;=Parametri!$B$11),"Healthy",IF(AND(J5&gt;=Parametri!$B$12,K5&gt;=Parametri!$B$12),"Caution","Critical"))))</f>
        <v/>
      </c>
      <c r="M5" s="20" t="str">
        <f>IF(A5="","",IFERROR(('WBS e Stima Costi'!$B$31-F5)/J5,""))</f>
        <v/>
      </c>
      <c r="N5" s="20" t="str">
        <f t="shared" si="4"/>
        <v/>
      </c>
      <c r="O5" s="20" t="str">
        <f>IF(A5="","",G5+('WBS e Stima Costi'!$B$31-F5))</f>
        <v/>
      </c>
      <c r="P5" s="20" t="str">
        <f>IF(A5="","",IFERROR('WBS e Stima Costi'!$B$31/J5,""))</f>
        <v/>
      </c>
      <c r="Q5" s="20" t="str">
        <f>IF(A5="","",'WBS e Stima Costi'!$B$31-N5)</f>
        <v/>
      </c>
      <c r="R5" s="28" t="str">
        <f>IF(A5="","",IFERROR(('WBS e Stima Costi'!$B$31-F5)/('WBS e Stima Costi'!$B$31-G5),""))</f>
        <v/>
      </c>
      <c r="S5" s="30" t="str">
        <f t="shared" ref="S5:S33" si="6">IF(A5="","",G5-G4)</f>
        <v/>
      </c>
      <c r="T5" s="30" t="str">
        <f t="shared" ref="T5:T33" si="7">IF(A5="","",D5-D4)</f>
        <v/>
      </c>
      <c r="U5" s="28" t="str">
        <f t="shared" si="5"/>
        <v/>
      </c>
      <c r="V5" s="22" t="str">
        <f>IF(A5="","",IFERROR((A5-Parametri!$B$15)/(Parametri!$B$16-Parametri!$B$15),""))</f>
        <v/>
      </c>
    </row>
    <row r="6" spans="1:22" x14ac:dyDescent="0.25">
      <c r="A6" s="27"/>
      <c r="B6" s="15"/>
      <c r="C6" s="7"/>
      <c r="D6" s="20" t="str">
        <f>IF(A6="","",C6*'WBS e Stima Costi'!$B$31)</f>
        <v/>
      </c>
      <c r="E6" s="7"/>
      <c r="F6" s="20" t="str">
        <f>IF(A6="","",E6*'WBS e Stima Costi'!$B$31)</f>
        <v/>
      </c>
      <c r="G6" s="12"/>
      <c r="H6" s="20" t="str">
        <f t="shared" si="0"/>
        <v/>
      </c>
      <c r="I6" s="20" t="str">
        <f t="shared" si="1"/>
        <v/>
      </c>
      <c r="J6" s="28" t="str">
        <f t="shared" si="2"/>
        <v/>
      </c>
      <c r="K6" s="28" t="str">
        <f t="shared" si="3"/>
        <v/>
      </c>
      <c r="L6" s="29" t="str">
        <f>IF(A6="","",IF(OR(J6="",K6=""),"",IF(AND(J6&gt;=Parametri!$B$11,K6&gt;=Parametri!$B$11),"Healthy",IF(AND(J6&gt;=Parametri!$B$12,K6&gt;=Parametri!$B$12),"Caution","Critical"))))</f>
        <v/>
      </c>
      <c r="M6" s="20" t="str">
        <f>IF(A6="","",IFERROR(('WBS e Stima Costi'!$B$31-F6)/J6,""))</f>
        <v/>
      </c>
      <c r="N6" s="20" t="str">
        <f t="shared" si="4"/>
        <v/>
      </c>
      <c r="O6" s="20" t="str">
        <f>IF(A6="","",G6+('WBS e Stima Costi'!$B$31-F6))</f>
        <v/>
      </c>
      <c r="P6" s="20" t="str">
        <f>IF(A6="","",IFERROR('WBS e Stima Costi'!$B$31/J6,""))</f>
        <v/>
      </c>
      <c r="Q6" s="20" t="str">
        <f>IF(A6="","",'WBS e Stima Costi'!$B$31-N6)</f>
        <v/>
      </c>
      <c r="R6" s="28" t="str">
        <f>IF(A6="","",IFERROR(('WBS e Stima Costi'!$B$31-F6)/('WBS e Stima Costi'!$B$31-G6),""))</f>
        <v/>
      </c>
      <c r="S6" s="30" t="str">
        <f t="shared" si="6"/>
        <v/>
      </c>
      <c r="T6" s="30" t="str">
        <f t="shared" si="7"/>
        <v/>
      </c>
      <c r="U6" s="28" t="str">
        <f t="shared" si="5"/>
        <v/>
      </c>
      <c r="V6" s="22" t="str">
        <f>IF(A6="","",IFERROR((A6-Parametri!$B$15)/(Parametri!$B$16-Parametri!$B$15),""))</f>
        <v/>
      </c>
    </row>
    <row r="7" spans="1:22" x14ac:dyDescent="0.25">
      <c r="A7" s="27"/>
      <c r="B7" s="15"/>
      <c r="C7" s="7"/>
      <c r="D7" s="20" t="str">
        <f>IF(A7="","",C7*'WBS e Stima Costi'!$B$31)</f>
        <v/>
      </c>
      <c r="E7" s="7"/>
      <c r="F7" s="20" t="str">
        <f>IF(A7="","",E7*'WBS e Stima Costi'!$B$31)</f>
        <v/>
      </c>
      <c r="G7" s="12"/>
      <c r="H7" s="20" t="str">
        <f t="shared" si="0"/>
        <v/>
      </c>
      <c r="I7" s="20" t="str">
        <f t="shared" si="1"/>
        <v/>
      </c>
      <c r="J7" s="28" t="str">
        <f t="shared" si="2"/>
        <v/>
      </c>
      <c r="K7" s="28" t="str">
        <f t="shared" si="3"/>
        <v/>
      </c>
      <c r="L7" s="29" t="str">
        <f>IF(A7="","",IF(OR(J7="",K7=""),"",IF(AND(J7&gt;=Parametri!$B$11,K7&gt;=Parametri!$B$11),"Healthy",IF(AND(J7&gt;=Parametri!$B$12,K7&gt;=Parametri!$B$12),"Caution","Critical"))))</f>
        <v/>
      </c>
      <c r="M7" s="20" t="str">
        <f>IF(A7="","",IFERROR(('WBS e Stima Costi'!$B$31-F7)/J7,""))</f>
        <v/>
      </c>
      <c r="N7" s="20" t="str">
        <f t="shared" si="4"/>
        <v/>
      </c>
      <c r="O7" s="20" t="str">
        <f>IF(A7="","",G7+('WBS e Stima Costi'!$B$31-F7))</f>
        <v/>
      </c>
      <c r="P7" s="20" t="str">
        <f>IF(A7="","",IFERROR('WBS e Stima Costi'!$B$31/J7,""))</f>
        <v/>
      </c>
      <c r="Q7" s="20" t="str">
        <f>IF(A7="","",'WBS e Stima Costi'!$B$31-N7)</f>
        <v/>
      </c>
      <c r="R7" s="28" t="str">
        <f>IF(A7="","",IFERROR(('WBS e Stima Costi'!$B$31-F7)/('WBS e Stima Costi'!$B$31-G7),""))</f>
        <v/>
      </c>
      <c r="S7" s="30" t="str">
        <f t="shared" si="6"/>
        <v/>
      </c>
      <c r="T7" s="30" t="str">
        <f t="shared" si="7"/>
        <v/>
      </c>
      <c r="U7" s="28" t="str">
        <f t="shared" si="5"/>
        <v/>
      </c>
      <c r="V7" s="22" t="str">
        <f>IF(A7="","",IFERROR((A7-Parametri!$B$15)/(Parametri!$B$16-Parametri!$B$15),""))</f>
        <v/>
      </c>
    </row>
    <row r="8" spans="1:22" x14ac:dyDescent="0.25">
      <c r="A8" s="27"/>
      <c r="B8" s="15"/>
      <c r="C8" s="7"/>
      <c r="D8" s="20" t="str">
        <f>IF(A8="","",C8*'WBS e Stima Costi'!$B$31)</f>
        <v/>
      </c>
      <c r="E8" s="7"/>
      <c r="F8" s="20" t="str">
        <f>IF(A8="","",E8*'WBS e Stima Costi'!$B$31)</f>
        <v/>
      </c>
      <c r="G8" s="12"/>
      <c r="H8" s="20" t="str">
        <f t="shared" si="0"/>
        <v/>
      </c>
      <c r="I8" s="20" t="str">
        <f t="shared" si="1"/>
        <v/>
      </c>
      <c r="J8" s="28" t="str">
        <f t="shared" si="2"/>
        <v/>
      </c>
      <c r="K8" s="28" t="str">
        <f t="shared" si="3"/>
        <v/>
      </c>
      <c r="L8" s="29" t="str">
        <f>IF(A8="","",IF(OR(J8="",K8=""),"",IF(AND(J8&gt;=Parametri!$B$11,K8&gt;=Parametri!$B$11),"Healthy",IF(AND(J8&gt;=Parametri!$B$12,K8&gt;=Parametri!$B$12),"Caution","Critical"))))</f>
        <v/>
      </c>
      <c r="M8" s="20" t="str">
        <f>IF(A8="","",IFERROR(('WBS e Stima Costi'!$B$31-F8)/J8,""))</f>
        <v/>
      </c>
      <c r="N8" s="20" t="str">
        <f t="shared" si="4"/>
        <v/>
      </c>
      <c r="O8" s="20" t="str">
        <f>IF(A8="","",G8+('WBS e Stima Costi'!$B$31-F8))</f>
        <v/>
      </c>
      <c r="P8" s="20" t="str">
        <f>IF(A8="","",IFERROR('WBS e Stima Costi'!$B$31/J8,""))</f>
        <v/>
      </c>
      <c r="Q8" s="20" t="str">
        <f>IF(A8="","",'WBS e Stima Costi'!$B$31-N8)</f>
        <v/>
      </c>
      <c r="R8" s="28" t="str">
        <f>IF(A8="","",IFERROR(('WBS e Stima Costi'!$B$31-F8)/('WBS e Stima Costi'!$B$31-G8),""))</f>
        <v/>
      </c>
      <c r="S8" s="30" t="str">
        <f t="shared" si="6"/>
        <v/>
      </c>
      <c r="T8" s="30" t="str">
        <f t="shared" si="7"/>
        <v/>
      </c>
      <c r="U8" s="28" t="str">
        <f t="shared" si="5"/>
        <v/>
      </c>
      <c r="V8" s="22" t="str">
        <f>IF(A8="","",IFERROR((A8-Parametri!$B$15)/(Parametri!$B$16-Parametri!$B$15),""))</f>
        <v/>
      </c>
    </row>
    <row r="9" spans="1:22" x14ac:dyDescent="0.25">
      <c r="A9" s="27"/>
      <c r="B9" s="15"/>
      <c r="C9" s="7"/>
      <c r="D9" s="20" t="str">
        <f>IF(A9="","",C9*'WBS e Stima Costi'!$B$31)</f>
        <v/>
      </c>
      <c r="E9" s="7"/>
      <c r="F9" s="20" t="str">
        <f>IF(A9="","",E9*'WBS e Stima Costi'!$B$31)</f>
        <v/>
      </c>
      <c r="G9" s="12"/>
      <c r="H9" s="20" t="str">
        <f t="shared" si="0"/>
        <v/>
      </c>
      <c r="I9" s="20" t="str">
        <f t="shared" si="1"/>
        <v/>
      </c>
      <c r="J9" s="28" t="str">
        <f t="shared" si="2"/>
        <v/>
      </c>
      <c r="K9" s="28" t="str">
        <f t="shared" si="3"/>
        <v/>
      </c>
      <c r="L9" s="29" t="str">
        <f>IF(A9="","",IF(OR(J9="",K9=""),"",IF(AND(J9&gt;=Parametri!$B$11,K9&gt;=Parametri!$B$11),"Healthy",IF(AND(J9&gt;=Parametri!$B$12,K9&gt;=Parametri!$B$12),"Caution","Critical"))))</f>
        <v/>
      </c>
      <c r="M9" s="20" t="str">
        <f>IF(A9="","",IFERROR(('WBS e Stima Costi'!$B$31-F9)/J9,""))</f>
        <v/>
      </c>
      <c r="N9" s="20" t="str">
        <f t="shared" si="4"/>
        <v/>
      </c>
      <c r="O9" s="20" t="str">
        <f>IF(A9="","",G9+('WBS e Stima Costi'!$B$31-F9))</f>
        <v/>
      </c>
      <c r="P9" s="20" t="str">
        <f>IF(A9="","",IFERROR('WBS e Stima Costi'!$B$31/J9,""))</f>
        <v/>
      </c>
      <c r="Q9" s="20" t="str">
        <f>IF(A9="","",'WBS e Stima Costi'!$B$31-N9)</f>
        <v/>
      </c>
      <c r="R9" s="28" t="str">
        <f>IF(A9="","",IFERROR(('WBS e Stima Costi'!$B$31-F9)/('WBS e Stima Costi'!$B$31-G9),""))</f>
        <v/>
      </c>
      <c r="S9" s="30" t="str">
        <f t="shared" si="6"/>
        <v/>
      </c>
      <c r="T9" s="30" t="str">
        <f t="shared" si="7"/>
        <v/>
      </c>
      <c r="U9" s="28" t="str">
        <f t="shared" si="5"/>
        <v/>
      </c>
      <c r="V9" s="22" t="str">
        <f>IF(A9="","",IFERROR((A9-Parametri!$B$15)/(Parametri!$B$16-Parametri!$B$15),""))</f>
        <v/>
      </c>
    </row>
    <row r="10" spans="1:22" x14ac:dyDescent="0.25">
      <c r="A10" s="27"/>
      <c r="B10" s="15"/>
      <c r="C10" s="7"/>
      <c r="D10" s="20" t="str">
        <f>IF(A10="","",C10*'WBS e Stima Costi'!$B$31)</f>
        <v/>
      </c>
      <c r="E10" s="7"/>
      <c r="F10" s="20" t="str">
        <f>IF(A10="","",E10*'WBS e Stima Costi'!$B$31)</f>
        <v/>
      </c>
      <c r="G10" s="12"/>
      <c r="H10" s="20" t="str">
        <f t="shared" si="0"/>
        <v/>
      </c>
      <c r="I10" s="20" t="str">
        <f t="shared" si="1"/>
        <v/>
      </c>
      <c r="J10" s="28" t="str">
        <f t="shared" si="2"/>
        <v/>
      </c>
      <c r="K10" s="28" t="str">
        <f t="shared" si="3"/>
        <v/>
      </c>
      <c r="L10" s="29" t="str">
        <f>IF(A10="","",IF(OR(J10="",K10=""),"",IF(AND(J10&gt;=Parametri!$B$11,K10&gt;=Parametri!$B$11),"Healthy",IF(AND(J10&gt;=Parametri!$B$12,K10&gt;=Parametri!$B$12),"Caution","Critical"))))</f>
        <v/>
      </c>
      <c r="M10" s="20" t="str">
        <f>IF(A10="","",IFERROR(('WBS e Stima Costi'!$B$31-F10)/J10,""))</f>
        <v/>
      </c>
      <c r="N10" s="20" t="str">
        <f t="shared" si="4"/>
        <v/>
      </c>
      <c r="O10" s="20" t="str">
        <f>IF(A10="","",G10+('WBS e Stima Costi'!$B$31-F10))</f>
        <v/>
      </c>
      <c r="P10" s="20" t="str">
        <f>IF(A10="","",IFERROR('WBS e Stima Costi'!$B$31/J10,""))</f>
        <v/>
      </c>
      <c r="Q10" s="20" t="str">
        <f>IF(A10="","",'WBS e Stima Costi'!$B$31-N10)</f>
        <v/>
      </c>
      <c r="R10" s="28" t="str">
        <f>IF(A10="","",IFERROR(('WBS e Stima Costi'!$B$31-F10)/('WBS e Stima Costi'!$B$31-G10),""))</f>
        <v/>
      </c>
      <c r="S10" s="30" t="str">
        <f t="shared" si="6"/>
        <v/>
      </c>
      <c r="T10" s="30" t="str">
        <f t="shared" si="7"/>
        <v/>
      </c>
      <c r="U10" s="28" t="str">
        <f t="shared" si="5"/>
        <v/>
      </c>
      <c r="V10" s="22" t="str">
        <f>IF(A10="","",IFERROR((A10-Parametri!$B$15)/(Parametri!$B$16-Parametri!$B$15),""))</f>
        <v/>
      </c>
    </row>
    <row r="11" spans="1:22" x14ac:dyDescent="0.25">
      <c r="A11" s="27"/>
      <c r="B11" s="15"/>
      <c r="C11" s="7"/>
      <c r="D11" s="20" t="str">
        <f>IF(A11="","",C11*'WBS e Stima Costi'!$B$31)</f>
        <v/>
      </c>
      <c r="E11" s="7"/>
      <c r="F11" s="20" t="str">
        <f>IF(A11="","",E11*'WBS e Stima Costi'!$B$31)</f>
        <v/>
      </c>
      <c r="G11" s="12"/>
      <c r="H11" s="20" t="str">
        <f t="shared" si="0"/>
        <v/>
      </c>
      <c r="I11" s="20" t="str">
        <f t="shared" si="1"/>
        <v/>
      </c>
      <c r="J11" s="28" t="str">
        <f t="shared" si="2"/>
        <v/>
      </c>
      <c r="K11" s="28" t="str">
        <f t="shared" si="3"/>
        <v/>
      </c>
      <c r="L11" s="29" t="str">
        <f>IF(A11="","",IF(OR(J11="",K11=""),"",IF(AND(J11&gt;=Parametri!$B$11,K11&gt;=Parametri!$B$11),"Healthy",IF(AND(J11&gt;=Parametri!$B$12,K11&gt;=Parametri!$B$12),"Caution","Critical"))))</f>
        <v/>
      </c>
      <c r="M11" s="20" t="str">
        <f>IF(A11="","",IFERROR(('WBS e Stima Costi'!$B$31-F11)/J11,""))</f>
        <v/>
      </c>
      <c r="N11" s="20" t="str">
        <f t="shared" si="4"/>
        <v/>
      </c>
      <c r="O11" s="20" t="str">
        <f>IF(A11="","",G11+('WBS e Stima Costi'!$B$31-F11))</f>
        <v/>
      </c>
      <c r="P11" s="20" t="str">
        <f>IF(A11="","",IFERROR('WBS e Stima Costi'!$B$31/J11,""))</f>
        <v/>
      </c>
      <c r="Q11" s="20" t="str">
        <f>IF(A11="","",'WBS e Stima Costi'!$B$31-N11)</f>
        <v/>
      </c>
      <c r="R11" s="28" t="str">
        <f>IF(A11="","",IFERROR(('WBS e Stima Costi'!$B$31-F11)/('WBS e Stima Costi'!$B$31-G11),""))</f>
        <v/>
      </c>
      <c r="S11" s="30" t="str">
        <f t="shared" si="6"/>
        <v/>
      </c>
      <c r="T11" s="30" t="str">
        <f t="shared" si="7"/>
        <v/>
      </c>
      <c r="U11" s="28" t="str">
        <f t="shared" si="5"/>
        <v/>
      </c>
      <c r="V11" s="22" t="str">
        <f>IF(A11="","",IFERROR((A11-Parametri!$B$15)/(Parametri!$B$16-Parametri!$B$15),""))</f>
        <v/>
      </c>
    </row>
    <row r="12" spans="1:22" x14ac:dyDescent="0.25">
      <c r="A12" s="27"/>
      <c r="B12" s="15"/>
      <c r="C12" s="7"/>
      <c r="D12" s="20" t="str">
        <f>IF(A12="","",C12*'WBS e Stima Costi'!$B$31)</f>
        <v/>
      </c>
      <c r="E12" s="7"/>
      <c r="F12" s="20" t="str">
        <f>IF(A12="","",E12*'WBS e Stima Costi'!$B$31)</f>
        <v/>
      </c>
      <c r="G12" s="12"/>
      <c r="H12" s="20" t="str">
        <f t="shared" si="0"/>
        <v/>
      </c>
      <c r="I12" s="20" t="str">
        <f t="shared" si="1"/>
        <v/>
      </c>
      <c r="J12" s="28" t="str">
        <f t="shared" si="2"/>
        <v/>
      </c>
      <c r="K12" s="28" t="str">
        <f t="shared" si="3"/>
        <v/>
      </c>
      <c r="L12" s="29" t="str">
        <f>IF(A12="","",IF(OR(J12="",K12=""),"",IF(AND(J12&gt;=Parametri!$B$11,K12&gt;=Parametri!$B$11),"Healthy",IF(AND(J12&gt;=Parametri!$B$12,K12&gt;=Parametri!$B$12),"Caution","Critical"))))</f>
        <v/>
      </c>
      <c r="M12" s="20" t="str">
        <f>IF(A12="","",IFERROR(('WBS e Stima Costi'!$B$31-F12)/J12,""))</f>
        <v/>
      </c>
      <c r="N12" s="20" t="str">
        <f t="shared" si="4"/>
        <v/>
      </c>
      <c r="O12" s="20" t="str">
        <f>IF(A12="","",G12+('WBS e Stima Costi'!$B$31-F12))</f>
        <v/>
      </c>
      <c r="P12" s="20" t="str">
        <f>IF(A12="","",IFERROR('WBS e Stima Costi'!$B$31/J12,""))</f>
        <v/>
      </c>
      <c r="Q12" s="20" t="str">
        <f>IF(A12="","",'WBS e Stima Costi'!$B$31-N12)</f>
        <v/>
      </c>
      <c r="R12" s="28" t="str">
        <f>IF(A12="","",IFERROR(('WBS e Stima Costi'!$B$31-F12)/('WBS e Stima Costi'!$B$31-G12),""))</f>
        <v/>
      </c>
      <c r="S12" s="30" t="str">
        <f t="shared" si="6"/>
        <v/>
      </c>
      <c r="T12" s="30" t="str">
        <f t="shared" si="7"/>
        <v/>
      </c>
      <c r="U12" s="28" t="str">
        <f t="shared" si="5"/>
        <v/>
      </c>
      <c r="V12" s="22" t="str">
        <f>IF(A12="","",IFERROR((A12-Parametri!$B$15)/(Parametri!$B$16-Parametri!$B$15),""))</f>
        <v/>
      </c>
    </row>
    <row r="13" spans="1:22" x14ac:dyDescent="0.25">
      <c r="A13" s="27"/>
      <c r="B13" s="15"/>
      <c r="C13" s="7"/>
      <c r="D13" s="20" t="str">
        <f>IF(A13="","",C13*'WBS e Stima Costi'!$B$31)</f>
        <v/>
      </c>
      <c r="E13" s="7"/>
      <c r="F13" s="20" t="str">
        <f>IF(A13="","",E13*'WBS e Stima Costi'!$B$31)</f>
        <v/>
      </c>
      <c r="G13" s="12"/>
      <c r="H13" s="20" t="str">
        <f t="shared" si="0"/>
        <v/>
      </c>
      <c r="I13" s="20" t="str">
        <f t="shared" si="1"/>
        <v/>
      </c>
      <c r="J13" s="28" t="str">
        <f t="shared" si="2"/>
        <v/>
      </c>
      <c r="K13" s="28" t="str">
        <f t="shared" si="3"/>
        <v/>
      </c>
      <c r="L13" s="29" t="str">
        <f>IF(A13="","",IF(OR(J13="",K13=""),"",IF(AND(J13&gt;=Parametri!$B$11,K13&gt;=Parametri!$B$11),"Healthy",IF(AND(J13&gt;=Parametri!$B$12,K13&gt;=Parametri!$B$12),"Caution","Critical"))))</f>
        <v/>
      </c>
      <c r="M13" s="20" t="str">
        <f>IF(A13="","",IFERROR(('WBS e Stima Costi'!$B$31-F13)/J13,""))</f>
        <v/>
      </c>
      <c r="N13" s="20" t="str">
        <f t="shared" si="4"/>
        <v/>
      </c>
      <c r="O13" s="20" t="str">
        <f>IF(A13="","",G13+('WBS e Stima Costi'!$B$31-F13))</f>
        <v/>
      </c>
      <c r="P13" s="20" t="str">
        <f>IF(A13="","",IFERROR('WBS e Stima Costi'!$B$31/J13,""))</f>
        <v/>
      </c>
      <c r="Q13" s="20" t="str">
        <f>IF(A13="","",'WBS e Stima Costi'!$B$31-N13)</f>
        <v/>
      </c>
      <c r="R13" s="28" t="str">
        <f>IF(A13="","",IFERROR(('WBS e Stima Costi'!$B$31-F13)/('WBS e Stima Costi'!$B$31-G13),""))</f>
        <v/>
      </c>
      <c r="S13" s="30" t="str">
        <f t="shared" si="6"/>
        <v/>
      </c>
      <c r="T13" s="30" t="str">
        <f t="shared" si="7"/>
        <v/>
      </c>
      <c r="U13" s="28" t="str">
        <f t="shared" si="5"/>
        <v/>
      </c>
      <c r="V13" s="22" t="str">
        <f>IF(A13="","",IFERROR((A13-Parametri!$B$15)/(Parametri!$B$16-Parametri!$B$15),""))</f>
        <v/>
      </c>
    </row>
    <row r="14" spans="1:22" x14ac:dyDescent="0.25">
      <c r="A14" s="27"/>
      <c r="B14" s="15"/>
      <c r="C14" s="7"/>
      <c r="D14" s="20" t="str">
        <f>IF(A14="","",C14*'WBS e Stima Costi'!$B$31)</f>
        <v/>
      </c>
      <c r="E14" s="7"/>
      <c r="F14" s="20" t="str">
        <f>IF(A14="","",E14*'WBS e Stima Costi'!$B$31)</f>
        <v/>
      </c>
      <c r="G14" s="12"/>
      <c r="H14" s="20" t="str">
        <f t="shared" si="0"/>
        <v/>
      </c>
      <c r="I14" s="20" t="str">
        <f t="shared" si="1"/>
        <v/>
      </c>
      <c r="J14" s="28" t="str">
        <f t="shared" si="2"/>
        <v/>
      </c>
      <c r="K14" s="28" t="str">
        <f t="shared" si="3"/>
        <v/>
      </c>
      <c r="L14" s="29" t="str">
        <f>IF(A14="","",IF(OR(J14="",K14=""),"",IF(AND(J14&gt;=Parametri!$B$11,K14&gt;=Parametri!$B$11),"Healthy",IF(AND(J14&gt;=Parametri!$B$12,K14&gt;=Parametri!$B$12),"Caution","Critical"))))</f>
        <v/>
      </c>
      <c r="M14" s="20" t="str">
        <f>IF(A14="","",IFERROR(('WBS e Stima Costi'!$B$31-F14)/J14,""))</f>
        <v/>
      </c>
      <c r="N14" s="20" t="str">
        <f t="shared" si="4"/>
        <v/>
      </c>
      <c r="O14" s="20" t="str">
        <f>IF(A14="","",G14+('WBS e Stima Costi'!$B$31-F14))</f>
        <v/>
      </c>
      <c r="P14" s="20" t="str">
        <f>IF(A14="","",IFERROR('WBS e Stima Costi'!$B$31/J14,""))</f>
        <v/>
      </c>
      <c r="Q14" s="20" t="str">
        <f>IF(A14="","",'WBS e Stima Costi'!$B$31-N14)</f>
        <v/>
      </c>
      <c r="R14" s="28" t="str">
        <f>IF(A14="","",IFERROR(('WBS e Stima Costi'!$B$31-F14)/('WBS e Stima Costi'!$B$31-G14),""))</f>
        <v/>
      </c>
      <c r="S14" s="30" t="str">
        <f t="shared" si="6"/>
        <v/>
      </c>
      <c r="T14" s="30" t="str">
        <f t="shared" si="7"/>
        <v/>
      </c>
      <c r="U14" s="28" t="str">
        <f t="shared" si="5"/>
        <v/>
      </c>
      <c r="V14" s="22" t="str">
        <f>IF(A14="","",IFERROR((A14-Parametri!$B$15)/(Parametri!$B$16-Parametri!$B$15),""))</f>
        <v/>
      </c>
    </row>
    <row r="15" spans="1:22" x14ac:dyDescent="0.25">
      <c r="A15" s="27"/>
      <c r="B15" s="15"/>
      <c r="C15" s="7"/>
      <c r="D15" s="20" t="str">
        <f>IF(A15="","",C15*'WBS e Stima Costi'!$B$31)</f>
        <v/>
      </c>
      <c r="E15" s="7"/>
      <c r="F15" s="20" t="str">
        <f>IF(A15="","",E15*'WBS e Stima Costi'!$B$31)</f>
        <v/>
      </c>
      <c r="G15" s="12"/>
      <c r="H15" s="20" t="str">
        <f t="shared" si="0"/>
        <v/>
      </c>
      <c r="I15" s="20" t="str">
        <f t="shared" si="1"/>
        <v/>
      </c>
      <c r="J15" s="28" t="str">
        <f t="shared" si="2"/>
        <v/>
      </c>
      <c r="K15" s="28" t="str">
        <f t="shared" si="3"/>
        <v/>
      </c>
      <c r="L15" s="29" t="str">
        <f>IF(A15="","",IF(OR(J15="",K15=""),"",IF(AND(J15&gt;=Parametri!$B$11,K15&gt;=Parametri!$B$11),"Healthy",IF(AND(J15&gt;=Parametri!$B$12,K15&gt;=Parametri!$B$12),"Caution","Critical"))))</f>
        <v/>
      </c>
      <c r="M15" s="20" t="str">
        <f>IF(A15="","",IFERROR(('WBS e Stima Costi'!$B$31-F15)/J15,""))</f>
        <v/>
      </c>
      <c r="N15" s="20" t="str">
        <f t="shared" si="4"/>
        <v/>
      </c>
      <c r="O15" s="20" t="str">
        <f>IF(A15="","",G15+('WBS e Stima Costi'!$B$31-F15))</f>
        <v/>
      </c>
      <c r="P15" s="20" t="str">
        <f>IF(A15="","",IFERROR('WBS e Stima Costi'!$B$31/J15,""))</f>
        <v/>
      </c>
      <c r="Q15" s="20" t="str">
        <f>IF(A15="","",'WBS e Stima Costi'!$B$31-N15)</f>
        <v/>
      </c>
      <c r="R15" s="28" t="str">
        <f>IF(A15="","",IFERROR(('WBS e Stima Costi'!$B$31-F15)/('WBS e Stima Costi'!$B$31-G15),""))</f>
        <v/>
      </c>
      <c r="S15" s="30" t="str">
        <f t="shared" si="6"/>
        <v/>
      </c>
      <c r="T15" s="30" t="str">
        <f t="shared" si="7"/>
        <v/>
      </c>
      <c r="U15" s="28" t="str">
        <f t="shared" si="5"/>
        <v/>
      </c>
      <c r="V15" s="22" t="str">
        <f>IF(A15="","",IFERROR((A15-Parametri!$B$15)/(Parametri!$B$16-Parametri!$B$15),""))</f>
        <v/>
      </c>
    </row>
    <row r="16" spans="1:22" x14ac:dyDescent="0.25">
      <c r="A16" s="27"/>
      <c r="B16" s="15"/>
      <c r="C16" s="7"/>
      <c r="D16" s="20" t="str">
        <f>IF(A16="","",C16*'WBS e Stima Costi'!$B$31)</f>
        <v/>
      </c>
      <c r="E16" s="7"/>
      <c r="F16" s="20" t="str">
        <f>IF(A16="","",E16*'WBS e Stima Costi'!$B$31)</f>
        <v/>
      </c>
      <c r="G16" s="12"/>
      <c r="H16" s="20" t="str">
        <f t="shared" si="0"/>
        <v/>
      </c>
      <c r="I16" s="20" t="str">
        <f t="shared" si="1"/>
        <v/>
      </c>
      <c r="J16" s="28" t="str">
        <f t="shared" si="2"/>
        <v/>
      </c>
      <c r="K16" s="28" t="str">
        <f t="shared" si="3"/>
        <v/>
      </c>
      <c r="L16" s="29" t="str">
        <f>IF(A16="","",IF(OR(J16="",K16=""),"",IF(AND(J16&gt;=Parametri!$B$11,K16&gt;=Parametri!$B$11),"Healthy",IF(AND(J16&gt;=Parametri!$B$12,K16&gt;=Parametri!$B$12),"Caution","Critical"))))</f>
        <v/>
      </c>
      <c r="M16" s="20" t="str">
        <f>IF(A16="","",IFERROR(('WBS e Stima Costi'!$B$31-F16)/J16,""))</f>
        <v/>
      </c>
      <c r="N16" s="20" t="str">
        <f t="shared" si="4"/>
        <v/>
      </c>
      <c r="O16" s="20" t="str">
        <f>IF(A16="","",G16+('WBS e Stima Costi'!$B$31-F16))</f>
        <v/>
      </c>
      <c r="P16" s="20" t="str">
        <f>IF(A16="","",IFERROR('WBS e Stima Costi'!$B$31/J16,""))</f>
        <v/>
      </c>
      <c r="Q16" s="20" t="str">
        <f>IF(A16="","",'WBS e Stima Costi'!$B$31-N16)</f>
        <v/>
      </c>
      <c r="R16" s="28" t="str">
        <f>IF(A16="","",IFERROR(('WBS e Stima Costi'!$B$31-F16)/('WBS e Stima Costi'!$B$31-G16),""))</f>
        <v/>
      </c>
      <c r="S16" s="30" t="str">
        <f t="shared" si="6"/>
        <v/>
      </c>
      <c r="T16" s="30" t="str">
        <f t="shared" si="7"/>
        <v/>
      </c>
      <c r="U16" s="28" t="str">
        <f t="shared" si="5"/>
        <v/>
      </c>
      <c r="V16" s="22" t="str">
        <f>IF(A16="","",IFERROR((A16-Parametri!$B$15)/(Parametri!$B$16-Parametri!$B$15),""))</f>
        <v/>
      </c>
    </row>
    <row r="17" spans="1:22" x14ac:dyDescent="0.25">
      <c r="A17" s="27"/>
      <c r="B17" s="15"/>
      <c r="C17" s="7"/>
      <c r="D17" s="20" t="str">
        <f>IF(A17="","",C17*'WBS e Stima Costi'!$B$31)</f>
        <v/>
      </c>
      <c r="E17" s="7"/>
      <c r="F17" s="20" t="str">
        <f>IF(A17="","",E17*'WBS e Stima Costi'!$B$31)</f>
        <v/>
      </c>
      <c r="G17" s="12"/>
      <c r="H17" s="20" t="str">
        <f t="shared" si="0"/>
        <v/>
      </c>
      <c r="I17" s="20" t="str">
        <f t="shared" si="1"/>
        <v/>
      </c>
      <c r="J17" s="28" t="str">
        <f t="shared" si="2"/>
        <v/>
      </c>
      <c r="K17" s="28" t="str">
        <f t="shared" si="3"/>
        <v/>
      </c>
      <c r="L17" s="29" t="str">
        <f>IF(A17="","",IF(OR(J17="",K17=""),"",IF(AND(J17&gt;=Parametri!$B$11,K17&gt;=Parametri!$B$11),"Healthy",IF(AND(J17&gt;=Parametri!$B$12,K17&gt;=Parametri!$B$12),"Caution","Critical"))))</f>
        <v/>
      </c>
      <c r="M17" s="20" t="str">
        <f>IF(A17="","",IFERROR(('WBS e Stima Costi'!$B$31-F17)/J17,""))</f>
        <v/>
      </c>
      <c r="N17" s="20" t="str">
        <f t="shared" si="4"/>
        <v/>
      </c>
      <c r="O17" s="20" t="str">
        <f>IF(A17="","",G17+('WBS e Stima Costi'!$B$31-F17))</f>
        <v/>
      </c>
      <c r="P17" s="20" t="str">
        <f>IF(A17="","",IFERROR('WBS e Stima Costi'!$B$31/J17,""))</f>
        <v/>
      </c>
      <c r="Q17" s="20" t="str">
        <f>IF(A17="","",'WBS e Stima Costi'!$B$31-N17)</f>
        <v/>
      </c>
      <c r="R17" s="28" t="str">
        <f>IF(A17="","",IFERROR(('WBS e Stima Costi'!$B$31-F17)/('WBS e Stima Costi'!$B$31-G17),""))</f>
        <v/>
      </c>
      <c r="S17" s="30" t="str">
        <f t="shared" si="6"/>
        <v/>
      </c>
      <c r="T17" s="30" t="str">
        <f t="shared" si="7"/>
        <v/>
      </c>
      <c r="U17" s="28" t="str">
        <f t="shared" si="5"/>
        <v/>
      </c>
      <c r="V17" s="22" t="str">
        <f>IF(A17="","",IFERROR((A17-Parametri!$B$15)/(Parametri!$B$16-Parametri!$B$15),""))</f>
        <v/>
      </c>
    </row>
    <row r="18" spans="1:22" x14ac:dyDescent="0.25">
      <c r="A18" s="27"/>
      <c r="B18" s="15"/>
      <c r="C18" s="7"/>
      <c r="D18" s="20" t="str">
        <f>IF(A18="","",C18*'WBS e Stima Costi'!$B$31)</f>
        <v/>
      </c>
      <c r="E18" s="7"/>
      <c r="F18" s="20" t="str">
        <f>IF(A18="","",E18*'WBS e Stima Costi'!$B$31)</f>
        <v/>
      </c>
      <c r="G18" s="12"/>
      <c r="H18" s="20" t="str">
        <f t="shared" si="0"/>
        <v/>
      </c>
      <c r="I18" s="20" t="str">
        <f t="shared" si="1"/>
        <v/>
      </c>
      <c r="J18" s="28" t="str">
        <f t="shared" si="2"/>
        <v/>
      </c>
      <c r="K18" s="28" t="str">
        <f t="shared" si="3"/>
        <v/>
      </c>
      <c r="L18" s="29" t="str">
        <f>IF(A18="","",IF(OR(J18="",K18=""),"",IF(AND(J18&gt;=Parametri!$B$11,K18&gt;=Parametri!$B$11),"Healthy",IF(AND(J18&gt;=Parametri!$B$12,K18&gt;=Parametri!$B$12),"Caution","Critical"))))</f>
        <v/>
      </c>
      <c r="M18" s="20" t="str">
        <f>IF(A18="","",IFERROR(('WBS e Stima Costi'!$B$31-F18)/J18,""))</f>
        <v/>
      </c>
      <c r="N18" s="20" t="str">
        <f t="shared" si="4"/>
        <v/>
      </c>
      <c r="O18" s="20" t="str">
        <f>IF(A18="","",G18+('WBS e Stima Costi'!$B$31-F18))</f>
        <v/>
      </c>
      <c r="P18" s="20" t="str">
        <f>IF(A18="","",IFERROR('WBS e Stima Costi'!$B$31/J18,""))</f>
        <v/>
      </c>
      <c r="Q18" s="20" t="str">
        <f>IF(A18="","",'WBS e Stima Costi'!$B$31-N18)</f>
        <v/>
      </c>
      <c r="R18" s="28" t="str">
        <f>IF(A18="","",IFERROR(('WBS e Stima Costi'!$B$31-F18)/('WBS e Stima Costi'!$B$31-G18),""))</f>
        <v/>
      </c>
      <c r="S18" s="30" t="str">
        <f t="shared" si="6"/>
        <v/>
      </c>
      <c r="T18" s="30" t="str">
        <f t="shared" si="7"/>
        <v/>
      </c>
      <c r="U18" s="28" t="str">
        <f t="shared" si="5"/>
        <v/>
      </c>
      <c r="V18" s="22" t="str">
        <f>IF(A18="","",IFERROR((A18-Parametri!$B$15)/(Parametri!$B$16-Parametri!$B$15),""))</f>
        <v/>
      </c>
    </row>
    <row r="19" spans="1:22" x14ac:dyDescent="0.25">
      <c r="A19" s="27"/>
      <c r="B19" s="15"/>
      <c r="C19" s="7"/>
      <c r="D19" s="20" t="str">
        <f>IF(A19="","",C19*'WBS e Stima Costi'!$B$31)</f>
        <v/>
      </c>
      <c r="E19" s="7"/>
      <c r="F19" s="20" t="str">
        <f>IF(A19="","",E19*'WBS e Stima Costi'!$B$31)</f>
        <v/>
      </c>
      <c r="G19" s="12"/>
      <c r="H19" s="20" t="str">
        <f t="shared" si="0"/>
        <v/>
      </c>
      <c r="I19" s="20" t="str">
        <f t="shared" si="1"/>
        <v/>
      </c>
      <c r="J19" s="28" t="str">
        <f t="shared" si="2"/>
        <v/>
      </c>
      <c r="K19" s="28" t="str">
        <f t="shared" si="3"/>
        <v/>
      </c>
      <c r="L19" s="29" t="str">
        <f>IF(A19="","",IF(OR(J19="",K19=""),"",IF(AND(J19&gt;=Parametri!$B$11,K19&gt;=Parametri!$B$11),"Healthy",IF(AND(J19&gt;=Parametri!$B$12,K19&gt;=Parametri!$B$12),"Caution","Critical"))))</f>
        <v/>
      </c>
      <c r="M19" s="20" t="str">
        <f>IF(A19="","",IFERROR(('WBS e Stima Costi'!$B$31-F19)/J19,""))</f>
        <v/>
      </c>
      <c r="N19" s="20" t="str">
        <f t="shared" si="4"/>
        <v/>
      </c>
      <c r="O19" s="20" t="str">
        <f>IF(A19="","",G19+('WBS e Stima Costi'!$B$31-F19))</f>
        <v/>
      </c>
      <c r="P19" s="20" t="str">
        <f>IF(A19="","",IFERROR('WBS e Stima Costi'!$B$31/J19,""))</f>
        <v/>
      </c>
      <c r="Q19" s="20" t="str">
        <f>IF(A19="","",'WBS e Stima Costi'!$B$31-N19)</f>
        <v/>
      </c>
      <c r="R19" s="28" t="str">
        <f>IF(A19="","",IFERROR(('WBS e Stima Costi'!$B$31-F19)/('WBS e Stima Costi'!$B$31-G19),""))</f>
        <v/>
      </c>
      <c r="S19" s="30" t="str">
        <f t="shared" si="6"/>
        <v/>
      </c>
      <c r="T19" s="30" t="str">
        <f t="shared" si="7"/>
        <v/>
      </c>
      <c r="U19" s="28" t="str">
        <f t="shared" si="5"/>
        <v/>
      </c>
      <c r="V19" s="22" t="str">
        <f>IF(A19="","",IFERROR((A19-Parametri!$B$15)/(Parametri!$B$16-Parametri!$B$15),""))</f>
        <v/>
      </c>
    </row>
    <row r="20" spans="1:22" x14ac:dyDescent="0.25">
      <c r="A20" s="27"/>
      <c r="B20" s="15"/>
      <c r="C20" s="7"/>
      <c r="D20" s="20" t="str">
        <f>IF(A20="","",C20*'WBS e Stima Costi'!$B$31)</f>
        <v/>
      </c>
      <c r="E20" s="7"/>
      <c r="F20" s="20" t="str">
        <f>IF(A20="","",E20*'WBS e Stima Costi'!$B$31)</f>
        <v/>
      </c>
      <c r="G20" s="12"/>
      <c r="H20" s="20" t="str">
        <f t="shared" si="0"/>
        <v/>
      </c>
      <c r="I20" s="20" t="str">
        <f t="shared" si="1"/>
        <v/>
      </c>
      <c r="J20" s="28" t="str">
        <f t="shared" si="2"/>
        <v/>
      </c>
      <c r="K20" s="28" t="str">
        <f t="shared" si="3"/>
        <v/>
      </c>
      <c r="L20" s="29" t="str">
        <f>IF(A20="","",IF(OR(J20="",K20=""),"",IF(AND(J20&gt;=Parametri!$B$11,K20&gt;=Parametri!$B$11),"Healthy",IF(AND(J20&gt;=Parametri!$B$12,K20&gt;=Parametri!$B$12),"Caution","Critical"))))</f>
        <v/>
      </c>
      <c r="M20" s="20" t="str">
        <f>IF(A20="","",IFERROR(('WBS e Stima Costi'!$B$31-F20)/J20,""))</f>
        <v/>
      </c>
      <c r="N20" s="20" t="str">
        <f t="shared" si="4"/>
        <v/>
      </c>
      <c r="O20" s="20" t="str">
        <f>IF(A20="","",G20+('WBS e Stima Costi'!$B$31-F20))</f>
        <v/>
      </c>
      <c r="P20" s="20" t="str">
        <f>IF(A20="","",IFERROR('WBS e Stima Costi'!$B$31/J20,""))</f>
        <v/>
      </c>
      <c r="Q20" s="20" t="str">
        <f>IF(A20="","",'WBS e Stima Costi'!$B$31-N20)</f>
        <v/>
      </c>
      <c r="R20" s="28" t="str">
        <f>IF(A20="","",IFERROR(('WBS e Stima Costi'!$B$31-F20)/('WBS e Stima Costi'!$B$31-G20),""))</f>
        <v/>
      </c>
      <c r="S20" s="30" t="str">
        <f t="shared" si="6"/>
        <v/>
      </c>
      <c r="T20" s="30" t="str">
        <f t="shared" si="7"/>
        <v/>
      </c>
      <c r="U20" s="28" t="str">
        <f t="shared" si="5"/>
        <v/>
      </c>
      <c r="V20" s="22" t="str">
        <f>IF(A20="","",IFERROR((A20-Parametri!$B$15)/(Parametri!$B$16-Parametri!$B$15),""))</f>
        <v/>
      </c>
    </row>
    <row r="21" spans="1:22" x14ac:dyDescent="0.25">
      <c r="A21" s="27"/>
      <c r="B21" s="15"/>
      <c r="C21" s="7"/>
      <c r="D21" s="20" t="str">
        <f>IF(A21="","",C21*'WBS e Stima Costi'!$B$31)</f>
        <v/>
      </c>
      <c r="E21" s="7"/>
      <c r="F21" s="20" t="str">
        <f>IF(A21="","",E21*'WBS e Stima Costi'!$B$31)</f>
        <v/>
      </c>
      <c r="G21" s="12"/>
      <c r="H21" s="20" t="str">
        <f t="shared" si="0"/>
        <v/>
      </c>
      <c r="I21" s="20" t="str">
        <f t="shared" si="1"/>
        <v/>
      </c>
      <c r="J21" s="28" t="str">
        <f t="shared" si="2"/>
        <v/>
      </c>
      <c r="K21" s="28" t="str">
        <f t="shared" si="3"/>
        <v/>
      </c>
      <c r="L21" s="29" t="str">
        <f>IF(A21="","",IF(OR(J21="",K21=""),"",IF(AND(J21&gt;=Parametri!$B$11,K21&gt;=Parametri!$B$11),"Healthy",IF(AND(J21&gt;=Parametri!$B$12,K21&gt;=Parametri!$B$12),"Caution","Critical"))))</f>
        <v/>
      </c>
      <c r="M21" s="20" t="str">
        <f>IF(A21="","",IFERROR(('WBS e Stima Costi'!$B$31-F21)/J21,""))</f>
        <v/>
      </c>
      <c r="N21" s="20" t="str">
        <f t="shared" si="4"/>
        <v/>
      </c>
      <c r="O21" s="20" t="str">
        <f>IF(A21="","",G21+('WBS e Stima Costi'!$B$31-F21))</f>
        <v/>
      </c>
      <c r="P21" s="20" t="str">
        <f>IF(A21="","",IFERROR('WBS e Stima Costi'!$B$31/J21,""))</f>
        <v/>
      </c>
      <c r="Q21" s="20" t="str">
        <f>IF(A21="","",'WBS e Stima Costi'!$B$31-N21)</f>
        <v/>
      </c>
      <c r="R21" s="28" t="str">
        <f>IF(A21="","",IFERROR(('WBS e Stima Costi'!$B$31-F21)/('WBS e Stima Costi'!$B$31-G21),""))</f>
        <v/>
      </c>
      <c r="S21" s="30" t="str">
        <f t="shared" si="6"/>
        <v/>
      </c>
      <c r="T21" s="30" t="str">
        <f t="shared" si="7"/>
        <v/>
      </c>
      <c r="U21" s="28" t="str">
        <f t="shared" si="5"/>
        <v/>
      </c>
      <c r="V21" s="22" t="str">
        <f>IF(A21="","",IFERROR((A21-Parametri!$B$15)/(Parametri!$B$16-Parametri!$B$15),""))</f>
        <v/>
      </c>
    </row>
    <row r="22" spans="1:22" x14ac:dyDescent="0.25">
      <c r="A22" s="27"/>
      <c r="B22" s="15"/>
      <c r="C22" s="7"/>
      <c r="D22" s="20" t="str">
        <f>IF(A22="","",C22*'WBS e Stima Costi'!$B$31)</f>
        <v/>
      </c>
      <c r="E22" s="7"/>
      <c r="F22" s="20" t="str">
        <f>IF(A22="","",E22*'WBS e Stima Costi'!$B$31)</f>
        <v/>
      </c>
      <c r="G22" s="12"/>
      <c r="H22" s="20" t="str">
        <f t="shared" si="0"/>
        <v/>
      </c>
      <c r="I22" s="20" t="str">
        <f t="shared" si="1"/>
        <v/>
      </c>
      <c r="J22" s="28" t="str">
        <f t="shared" si="2"/>
        <v/>
      </c>
      <c r="K22" s="28" t="str">
        <f t="shared" si="3"/>
        <v/>
      </c>
      <c r="L22" s="29" t="str">
        <f>IF(A22="","",IF(OR(J22="",K22=""),"",IF(AND(J22&gt;=Parametri!$B$11,K22&gt;=Parametri!$B$11),"Healthy",IF(AND(J22&gt;=Parametri!$B$12,K22&gt;=Parametri!$B$12),"Caution","Critical"))))</f>
        <v/>
      </c>
      <c r="M22" s="20" t="str">
        <f>IF(A22="","",IFERROR(('WBS e Stima Costi'!$B$31-F22)/J22,""))</f>
        <v/>
      </c>
      <c r="N22" s="20" t="str">
        <f t="shared" si="4"/>
        <v/>
      </c>
      <c r="O22" s="20" t="str">
        <f>IF(A22="","",G22+('WBS e Stima Costi'!$B$31-F22))</f>
        <v/>
      </c>
      <c r="P22" s="20" t="str">
        <f>IF(A22="","",IFERROR('WBS e Stima Costi'!$B$31/J22,""))</f>
        <v/>
      </c>
      <c r="Q22" s="20" t="str">
        <f>IF(A22="","",'WBS e Stima Costi'!$B$31-N22)</f>
        <v/>
      </c>
      <c r="R22" s="28" t="str">
        <f>IF(A22="","",IFERROR(('WBS e Stima Costi'!$B$31-F22)/('WBS e Stima Costi'!$B$31-G22),""))</f>
        <v/>
      </c>
      <c r="S22" s="30" t="str">
        <f t="shared" si="6"/>
        <v/>
      </c>
      <c r="T22" s="30" t="str">
        <f t="shared" si="7"/>
        <v/>
      </c>
      <c r="U22" s="28" t="str">
        <f t="shared" si="5"/>
        <v/>
      </c>
      <c r="V22" s="22" t="str">
        <f>IF(A22="","",IFERROR((A22-Parametri!$B$15)/(Parametri!$B$16-Parametri!$B$15),""))</f>
        <v/>
      </c>
    </row>
    <row r="23" spans="1:22" x14ac:dyDescent="0.25">
      <c r="A23" s="27"/>
      <c r="B23" s="15"/>
      <c r="C23" s="7"/>
      <c r="D23" s="20" t="str">
        <f>IF(A23="","",C23*'WBS e Stima Costi'!$B$31)</f>
        <v/>
      </c>
      <c r="E23" s="7"/>
      <c r="F23" s="20" t="str">
        <f>IF(A23="","",E23*'WBS e Stima Costi'!$B$31)</f>
        <v/>
      </c>
      <c r="G23" s="12"/>
      <c r="H23" s="20" t="str">
        <f t="shared" si="0"/>
        <v/>
      </c>
      <c r="I23" s="20" t="str">
        <f t="shared" si="1"/>
        <v/>
      </c>
      <c r="J23" s="28" t="str">
        <f t="shared" si="2"/>
        <v/>
      </c>
      <c r="K23" s="28" t="str">
        <f t="shared" si="3"/>
        <v/>
      </c>
      <c r="L23" s="29" t="str">
        <f>IF(A23="","",IF(OR(J23="",K23=""),"",IF(AND(J23&gt;=Parametri!$B$11,K23&gt;=Parametri!$B$11),"Healthy",IF(AND(J23&gt;=Parametri!$B$12,K23&gt;=Parametri!$B$12),"Caution","Critical"))))</f>
        <v/>
      </c>
      <c r="M23" s="20" t="str">
        <f>IF(A23="","",IFERROR(('WBS e Stima Costi'!$B$31-F23)/J23,""))</f>
        <v/>
      </c>
      <c r="N23" s="20" t="str">
        <f t="shared" si="4"/>
        <v/>
      </c>
      <c r="O23" s="20" t="str">
        <f>IF(A23="","",G23+('WBS e Stima Costi'!$B$31-F23))</f>
        <v/>
      </c>
      <c r="P23" s="20" t="str">
        <f>IF(A23="","",IFERROR('WBS e Stima Costi'!$B$31/J23,""))</f>
        <v/>
      </c>
      <c r="Q23" s="20" t="str">
        <f>IF(A23="","",'WBS e Stima Costi'!$B$31-N23)</f>
        <v/>
      </c>
      <c r="R23" s="28" t="str">
        <f>IF(A23="","",IFERROR(('WBS e Stima Costi'!$B$31-F23)/('WBS e Stima Costi'!$B$31-G23),""))</f>
        <v/>
      </c>
      <c r="S23" s="30" t="str">
        <f t="shared" si="6"/>
        <v/>
      </c>
      <c r="T23" s="30" t="str">
        <f t="shared" si="7"/>
        <v/>
      </c>
      <c r="U23" s="28" t="str">
        <f t="shared" si="5"/>
        <v/>
      </c>
      <c r="V23" s="22" t="str">
        <f>IF(A23="","",IFERROR((A23-Parametri!$B$15)/(Parametri!$B$16-Parametri!$B$15),""))</f>
        <v/>
      </c>
    </row>
    <row r="24" spans="1:22" x14ac:dyDescent="0.25">
      <c r="A24" s="27"/>
      <c r="B24" s="15"/>
      <c r="C24" s="7"/>
      <c r="D24" s="20" t="str">
        <f>IF(A24="","",C24*'WBS e Stima Costi'!$B$31)</f>
        <v/>
      </c>
      <c r="E24" s="7"/>
      <c r="F24" s="20" t="str">
        <f>IF(A24="","",E24*'WBS e Stima Costi'!$B$31)</f>
        <v/>
      </c>
      <c r="G24" s="12"/>
      <c r="H24" s="20" t="str">
        <f t="shared" si="0"/>
        <v/>
      </c>
      <c r="I24" s="20" t="str">
        <f t="shared" si="1"/>
        <v/>
      </c>
      <c r="J24" s="28" t="str">
        <f t="shared" si="2"/>
        <v/>
      </c>
      <c r="K24" s="28" t="str">
        <f t="shared" si="3"/>
        <v/>
      </c>
      <c r="L24" s="29" t="str">
        <f>IF(A24="","",IF(OR(J24="",K24=""),"",IF(AND(J24&gt;=Parametri!$B$11,K24&gt;=Parametri!$B$11),"Healthy",IF(AND(J24&gt;=Parametri!$B$12,K24&gt;=Parametri!$B$12),"Caution","Critical"))))</f>
        <v/>
      </c>
      <c r="M24" s="20" t="str">
        <f>IF(A24="","",IFERROR(('WBS e Stima Costi'!$B$31-F24)/J24,""))</f>
        <v/>
      </c>
      <c r="N24" s="20" t="str">
        <f t="shared" si="4"/>
        <v/>
      </c>
      <c r="O24" s="20" t="str">
        <f>IF(A24="","",G24+('WBS e Stima Costi'!$B$31-F24))</f>
        <v/>
      </c>
      <c r="P24" s="20" t="str">
        <f>IF(A24="","",IFERROR('WBS e Stima Costi'!$B$31/J24,""))</f>
        <v/>
      </c>
      <c r="Q24" s="20" t="str">
        <f>IF(A24="","",'WBS e Stima Costi'!$B$31-N24)</f>
        <v/>
      </c>
      <c r="R24" s="28" t="str">
        <f>IF(A24="","",IFERROR(('WBS e Stima Costi'!$B$31-F24)/('WBS e Stima Costi'!$B$31-G24),""))</f>
        <v/>
      </c>
      <c r="S24" s="30" t="str">
        <f t="shared" si="6"/>
        <v/>
      </c>
      <c r="T24" s="30" t="str">
        <f t="shared" si="7"/>
        <v/>
      </c>
      <c r="U24" s="28" t="str">
        <f t="shared" si="5"/>
        <v/>
      </c>
      <c r="V24" s="22" t="str">
        <f>IF(A24="","",IFERROR((A24-Parametri!$B$15)/(Parametri!$B$16-Parametri!$B$15),""))</f>
        <v/>
      </c>
    </row>
    <row r="25" spans="1:22" x14ac:dyDescent="0.25">
      <c r="A25" s="27"/>
      <c r="B25" s="15"/>
      <c r="C25" s="7"/>
      <c r="D25" s="20" t="str">
        <f>IF(A25="","",C25*'WBS e Stima Costi'!$B$31)</f>
        <v/>
      </c>
      <c r="E25" s="7"/>
      <c r="F25" s="20" t="str">
        <f>IF(A25="","",E25*'WBS e Stima Costi'!$B$31)</f>
        <v/>
      </c>
      <c r="G25" s="12"/>
      <c r="H25" s="20" t="str">
        <f t="shared" si="0"/>
        <v/>
      </c>
      <c r="I25" s="20" t="str">
        <f t="shared" si="1"/>
        <v/>
      </c>
      <c r="J25" s="28" t="str">
        <f t="shared" si="2"/>
        <v/>
      </c>
      <c r="K25" s="28" t="str">
        <f t="shared" si="3"/>
        <v/>
      </c>
      <c r="L25" s="29" t="str">
        <f>IF(A25="","",IF(OR(J25="",K25=""),"",IF(AND(J25&gt;=Parametri!$B$11,K25&gt;=Parametri!$B$11),"Healthy",IF(AND(J25&gt;=Parametri!$B$12,K25&gt;=Parametri!$B$12),"Caution","Critical"))))</f>
        <v/>
      </c>
      <c r="M25" s="20" t="str">
        <f>IF(A25="","",IFERROR(('WBS e Stima Costi'!$B$31-F25)/J25,""))</f>
        <v/>
      </c>
      <c r="N25" s="20" t="str">
        <f t="shared" si="4"/>
        <v/>
      </c>
      <c r="O25" s="20" t="str">
        <f>IF(A25="","",G25+('WBS e Stima Costi'!$B$31-F25))</f>
        <v/>
      </c>
      <c r="P25" s="20" t="str">
        <f>IF(A25="","",IFERROR('WBS e Stima Costi'!$B$31/J25,""))</f>
        <v/>
      </c>
      <c r="Q25" s="20" t="str">
        <f>IF(A25="","",'WBS e Stima Costi'!$B$31-N25)</f>
        <v/>
      </c>
      <c r="R25" s="28" t="str">
        <f>IF(A25="","",IFERROR(('WBS e Stima Costi'!$B$31-F25)/('WBS e Stima Costi'!$B$31-G25),""))</f>
        <v/>
      </c>
      <c r="S25" s="30" t="str">
        <f t="shared" si="6"/>
        <v/>
      </c>
      <c r="T25" s="30" t="str">
        <f t="shared" si="7"/>
        <v/>
      </c>
      <c r="U25" s="28" t="str">
        <f t="shared" si="5"/>
        <v/>
      </c>
      <c r="V25" s="22" t="str">
        <f>IF(A25="","",IFERROR((A25-Parametri!$B$15)/(Parametri!$B$16-Parametri!$B$15),""))</f>
        <v/>
      </c>
    </row>
    <row r="26" spans="1:22" x14ac:dyDescent="0.25">
      <c r="A26" s="27"/>
      <c r="B26" s="15"/>
      <c r="C26" s="7"/>
      <c r="D26" s="20" t="str">
        <f>IF(A26="","",C26*'WBS e Stima Costi'!$B$31)</f>
        <v/>
      </c>
      <c r="E26" s="7"/>
      <c r="F26" s="20" t="str">
        <f>IF(A26="","",E26*'WBS e Stima Costi'!$B$31)</f>
        <v/>
      </c>
      <c r="G26" s="12"/>
      <c r="H26" s="20" t="str">
        <f t="shared" si="0"/>
        <v/>
      </c>
      <c r="I26" s="20" t="str">
        <f t="shared" si="1"/>
        <v/>
      </c>
      <c r="J26" s="28" t="str">
        <f t="shared" si="2"/>
        <v/>
      </c>
      <c r="K26" s="28" t="str">
        <f t="shared" si="3"/>
        <v/>
      </c>
      <c r="L26" s="29" t="str">
        <f>IF(A26="","",IF(OR(J26="",K26=""),"",IF(AND(J26&gt;=Parametri!$B$11,K26&gt;=Parametri!$B$11),"Healthy",IF(AND(J26&gt;=Parametri!$B$12,K26&gt;=Parametri!$B$12),"Caution","Critical"))))</f>
        <v/>
      </c>
      <c r="M26" s="20" t="str">
        <f>IF(A26="","",IFERROR(('WBS e Stima Costi'!$B$31-F26)/J26,""))</f>
        <v/>
      </c>
      <c r="N26" s="20" t="str">
        <f t="shared" si="4"/>
        <v/>
      </c>
      <c r="O26" s="20" t="str">
        <f>IF(A26="","",G26+('WBS e Stima Costi'!$B$31-F26))</f>
        <v/>
      </c>
      <c r="P26" s="20" t="str">
        <f>IF(A26="","",IFERROR('WBS e Stima Costi'!$B$31/J26,""))</f>
        <v/>
      </c>
      <c r="Q26" s="20" t="str">
        <f>IF(A26="","",'WBS e Stima Costi'!$B$31-N26)</f>
        <v/>
      </c>
      <c r="R26" s="28" t="str">
        <f>IF(A26="","",IFERROR(('WBS e Stima Costi'!$B$31-F26)/('WBS e Stima Costi'!$B$31-G26),""))</f>
        <v/>
      </c>
      <c r="S26" s="30" t="str">
        <f t="shared" si="6"/>
        <v/>
      </c>
      <c r="T26" s="30" t="str">
        <f t="shared" si="7"/>
        <v/>
      </c>
      <c r="U26" s="28" t="str">
        <f t="shared" si="5"/>
        <v/>
      </c>
      <c r="V26" s="22" t="str">
        <f>IF(A26="","",IFERROR((A26-Parametri!$B$15)/(Parametri!$B$16-Parametri!$B$15),""))</f>
        <v/>
      </c>
    </row>
    <row r="27" spans="1:22" x14ac:dyDescent="0.25">
      <c r="A27" s="27"/>
      <c r="B27" s="15"/>
      <c r="C27" s="7"/>
      <c r="D27" s="20" t="str">
        <f>IF(A27="","",C27*'WBS e Stima Costi'!$B$31)</f>
        <v/>
      </c>
      <c r="E27" s="7"/>
      <c r="F27" s="20" t="str">
        <f>IF(A27="","",E27*'WBS e Stima Costi'!$B$31)</f>
        <v/>
      </c>
      <c r="G27" s="12"/>
      <c r="H27" s="20" t="str">
        <f t="shared" si="0"/>
        <v/>
      </c>
      <c r="I27" s="20" t="str">
        <f t="shared" si="1"/>
        <v/>
      </c>
      <c r="J27" s="28" t="str">
        <f t="shared" si="2"/>
        <v/>
      </c>
      <c r="K27" s="28" t="str">
        <f t="shared" si="3"/>
        <v/>
      </c>
      <c r="L27" s="29" t="str">
        <f>IF(A27="","",IF(OR(J27="",K27=""),"",IF(AND(J27&gt;=Parametri!$B$11,K27&gt;=Parametri!$B$11),"Healthy",IF(AND(J27&gt;=Parametri!$B$12,K27&gt;=Parametri!$B$12),"Caution","Critical"))))</f>
        <v/>
      </c>
      <c r="M27" s="20" t="str">
        <f>IF(A27="","",IFERROR(('WBS e Stima Costi'!$B$31-F27)/J27,""))</f>
        <v/>
      </c>
      <c r="N27" s="20" t="str">
        <f t="shared" si="4"/>
        <v/>
      </c>
      <c r="O27" s="20" t="str">
        <f>IF(A27="","",G27+('WBS e Stima Costi'!$B$31-F27))</f>
        <v/>
      </c>
      <c r="P27" s="20" t="str">
        <f>IF(A27="","",IFERROR('WBS e Stima Costi'!$B$31/J27,""))</f>
        <v/>
      </c>
      <c r="Q27" s="20" t="str">
        <f>IF(A27="","",'WBS e Stima Costi'!$B$31-N27)</f>
        <v/>
      </c>
      <c r="R27" s="28" t="str">
        <f>IF(A27="","",IFERROR(('WBS e Stima Costi'!$B$31-F27)/('WBS e Stima Costi'!$B$31-G27),""))</f>
        <v/>
      </c>
      <c r="S27" s="30" t="str">
        <f t="shared" si="6"/>
        <v/>
      </c>
      <c r="T27" s="30" t="str">
        <f t="shared" si="7"/>
        <v/>
      </c>
      <c r="U27" s="28" t="str">
        <f t="shared" si="5"/>
        <v/>
      </c>
      <c r="V27" s="22" t="str">
        <f>IF(A27="","",IFERROR((A27-Parametri!$B$15)/(Parametri!$B$16-Parametri!$B$15),""))</f>
        <v/>
      </c>
    </row>
    <row r="28" spans="1:22" x14ac:dyDescent="0.25">
      <c r="A28" s="27"/>
      <c r="B28" s="15"/>
      <c r="C28" s="7"/>
      <c r="D28" s="20" t="str">
        <f>IF(A28="","",C28*'WBS e Stima Costi'!$B$31)</f>
        <v/>
      </c>
      <c r="E28" s="7"/>
      <c r="F28" s="20" t="str">
        <f>IF(A28="","",E28*'WBS e Stima Costi'!$B$31)</f>
        <v/>
      </c>
      <c r="G28" s="12"/>
      <c r="H28" s="20" t="str">
        <f t="shared" si="0"/>
        <v/>
      </c>
      <c r="I28" s="20" t="str">
        <f t="shared" si="1"/>
        <v/>
      </c>
      <c r="J28" s="28" t="str">
        <f t="shared" si="2"/>
        <v/>
      </c>
      <c r="K28" s="28" t="str">
        <f t="shared" si="3"/>
        <v/>
      </c>
      <c r="L28" s="29" t="str">
        <f>IF(A28="","",IF(OR(J28="",K28=""),"",IF(AND(J28&gt;=Parametri!$B$11,K28&gt;=Parametri!$B$11),"Healthy",IF(AND(J28&gt;=Parametri!$B$12,K28&gt;=Parametri!$B$12),"Caution","Critical"))))</f>
        <v/>
      </c>
      <c r="M28" s="20" t="str">
        <f>IF(A28="","",IFERROR(('WBS e Stima Costi'!$B$31-F28)/J28,""))</f>
        <v/>
      </c>
      <c r="N28" s="20" t="str">
        <f t="shared" si="4"/>
        <v/>
      </c>
      <c r="O28" s="20" t="str">
        <f>IF(A28="","",G28+('WBS e Stima Costi'!$B$31-F28))</f>
        <v/>
      </c>
      <c r="P28" s="20" t="str">
        <f>IF(A28="","",IFERROR('WBS e Stima Costi'!$B$31/J28,""))</f>
        <v/>
      </c>
      <c r="Q28" s="20" t="str">
        <f>IF(A28="","",'WBS e Stima Costi'!$B$31-N28)</f>
        <v/>
      </c>
      <c r="R28" s="28" t="str">
        <f>IF(A28="","",IFERROR(('WBS e Stima Costi'!$B$31-F28)/('WBS e Stima Costi'!$B$31-G28),""))</f>
        <v/>
      </c>
      <c r="S28" s="30" t="str">
        <f t="shared" si="6"/>
        <v/>
      </c>
      <c r="T28" s="30" t="str">
        <f t="shared" si="7"/>
        <v/>
      </c>
      <c r="U28" s="28" t="str">
        <f t="shared" si="5"/>
        <v/>
      </c>
      <c r="V28" s="22" t="str">
        <f>IF(A28="","",IFERROR((A28-Parametri!$B$15)/(Parametri!$B$16-Parametri!$B$15),""))</f>
        <v/>
      </c>
    </row>
    <row r="29" spans="1:22" x14ac:dyDescent="0.25">
      <c r="A29" s="27"/>
      <c r="B29" s="15"/>
      <c r="C29" s="7"/>
      <c r="D29" s="20" t="str">
        <f>IF(A29="","",C29*'WBS e Stima Costi'!$B$31)</f>
        <v/>
      </c>
      <c r="E29" s="7"/>
      <c r="F29" s="20" t="str">
        <f>IF(A29="","",E29*'WBS e Stima Costi'!$B$31)</f>
        <v/>
      </c>
      <c r="G29" s="12"/>
      <c r="H29" s="20" t="str">
        <f t="shared" si="0"/>
        <v/>
      </c>
      <c r="I29" s="20" t="str">
        <f t="shared" si="1"/>
        <v/>
      </c>
      <c r="J29" s="28" t="str">
        <f t="shared" si="2"/>
        <v/>
      </c>
      <c r="K29" s="28" t="str">
        <f t="shared" si="3"/>
        <v/>
      </c>
      <c r="L29" s="29" t="str">
        <f>IF(A29="","",IF(OR(J29="",K29=""),"",IF(AND(J29&gt;=Parametri!$B$11,K29&gt;=Parametri!$B$11),"Healthy",IF(AND(J29&gt;=Parametri!$B$12,K29&gt;=Parametri!$B$12),"Caution","Critical"))))</f>
        <v/>
      </c>
      <c r="M29" s="20" t="str">
        <f>IF(A29="","",IFERROR(('WBS e Stima Costi'!$B$31-F29)/J29,""))</f>
        <v/>
      </c>
      <c r="N29" s="20" t="str">
        <f t="shared" si="4"/>
        <v/>
      </c>
      <c r="O29" s="20" t="str">
        <f>IF(A29="","",G29+('WBS e Stima Costi'!$B$31-F29))</f>
        <v/>
      </c>
      <c r="P29" s="20" t="str">
        <f>IF(A29="","",IFERROR('WBS e Stima Costi'!$B$31/J29,""))</f>
        <v/>
      </c>
      <c r="Q29" s="20" t="str">
        <f>IF(A29="","",'WBS e Stima Costi'!$B$31-N29)</f>
        <v/>
      </c>
      <c r="R29" s="28" t="str">
        <f>IF(A29="","",IFERROR(('WBS e Stima Costi'!$B$31-F29)/('WBS e Stima Costi'!$B$31-G29),""))</f>
        <v/>
      </c>
      <c r="S29" s="30" t="str">
        <f t="shared" si="6"/>
        <v/>
      </c>
      <c r="T29" s="30" t="str">
        <f t="shared" si="7"/>
        <v/>
      </c>
      <c r="U29" s="28" t="str">
        <f t="shared" si="5"/>
        <v/>
      </c>
      <c r="V29" s="22" t="str">
        <f>IF(A29="","",IFERROR((A29-Parametri!$B$15)/(Parametri!$B$16-Parametri!$B$15),""))</f>
        <v/>
      </c>
    </row>
    <row r="30" spans="1:22" x14ac:dyDescent="0.25">
      <c r="A30" s="27"/>
      <c r="B30" s="15"/>
      <c r="C30" s="7"/>
      <c r="D30" s="20" t="str">
        <f>IF(A30="","",C30*'WBS e Stima Costi'!$B$31)</f>
        <v/>
      </c>
      <c r="E30" s="7"/>
      <c r="F30" s="20" t="str">
        <f>IF(A30="","",E30*'WBS e Stima Costi'!$B$31)</f>
        <v/>
      </c>
      <c r="G30" s="12"/>
      <c r="H30" s="20" t="str">
        <f t="shared" si="0"/>
        <v/>
      </c>
      <c r="I30" s="20" t="str">
        <f t="shared" si="1"/>
        <v/>
      </c>
      <c r="J30" s="28" t="str">
        <f t="shared" si="2"/>
        <v/>
      </c>
      <c r="K30" s="28" t="str">
        <f t="shared" si="3"/>
        <v/>
      </c>
      <c r="L30" s="29" t="str">
        <f>IF(A30="","",IF(OR(J30="",K30=""),"",IF(AND(J30&gt;=Parametri!$B$11,K30&gt;=Parametri!$B$11),"Healthy",IF(AND(J30&gt;=Parametri!$B$12,K30&gt;=Parametri!$B$12),"Caution","Critical"))))</f>
        <v/>
      </c>
      <c r="M30" s="20" t="str">
        <f>IF(A30="","",IFERROR(('WBS e Stima Costi'!$B$31-F30)/J30,""))</f>
        <v/>
      </c>
      <c r="N30" s="20" t="str">
        <f t="shared" si="4"/>
        <v/>
      </c>
      <c r="O30" s="20" t="str">
        <f>IF(A30="","",G30+('WBS e Stima Costi'!$B$31-F30))</f>
        <v/>
      </c>
      <c r="P30" s="20" t="str">
        <f>IF(A30="","",IFERROR('WBS e Stima Costi'!$B$31/J30,""))</f>
        <v/>
      </c>
      <c r="Q30" s="20" t="str">
        <f>IF(A30="","",'WBS e Stima Costi'!$B$31-N30)</f>
        <v/>
      </c>
      <c r="R30" s="28" t="str">
        <f>IF(A30="","",IFERROR(('WBS e Stima Costi'!$B$31-F30)/('WBS e Stima Costi'!$B$31-G30),""))</f>
        <v/>
      </c>
      <c r="S30" s="30" t="str">
        <f t="shared" si="6"/>
        <v/>
      </c>
      <c r="T30" s="30" t="str">
        <f t="shared" si="7"/>
        <v/>
      </c>
      <c r="U30" s="28" t="str">
        <f t="shared" si="5"/>
        <v/>
      </c>
      <c r="V30" s="22" t="str">
        <f>IF(A30="","",IFERROR((A30-Parametri!$B$15)/(Parametri!$B$16-Parametri!$B$15),""))</f>
        <v/>
      </c>
    </row>
    <row r="31" spans="1:22" x14ac:dyDescent="0.25">
      <c r="A31" s="27"/>
      <c r="B31" s="15"/>
      <c r="C31" s="7"/>
      <c r="D31" s="20" t="str">
        <f>IF(A31="","",C31*'WBS e Stima Costi'!$B$31)</f>
        <v/>
      </c>
      <c r="E31" s="7"/>
      <c r="F31" s="20" t="str">
        <f>IF(A31="","",E31*'WBS e Stima Costi'!$B$31)</f>
        <v/>
      </c>
      <c r="G31" s="12"/>
      <c r="H31" s="20" t="str">
        <f t="shared" si="0"/>
        <v/>
      </c>
      <c r="I31" s="20" t="str">
        <f t="shared" si="1"/>
        <v/>
      </c>
      <c r="J31" s="28" t="str">
        <f t="shared" si="2"/>
        <v/>
      </c>
      <c r="K31" s="28" t="str">
        <f t="shared" si="3"/>
        <v/>
      </c>
      <c r="L31" s="29" t="str">
        <f>IF(A31="","",IF(OR(J31="",K31=""),"",IF(AND(J31&gt;=Parametri!$B$11,K31&gt;=Parametri!$B$11),"Healthy",IF(AND(J31&gt;=Parametri!$B$12,K31&gt;=Parametri!$B$12),"Caution","Critical"))))</f>
        <v/>
      </c>
      <c r="M31" s="20" t="str">
        <f>IF(A31="","",IFERROR(('WBS e Stima Costi'!$B$31-F31)/J31,""))</f>
        <v/>
      </c>
      <c r="N31" s="20" t="str">
        <f t="shared" si="4"/>
        <v/>
      </c>
      <c r="O31" s="20" t="str">
        <f>IF(A31="","",G31+('WBS e Stima Costi'!$B$31-F31))</f>
        <v/>
      </c>
      <c r="P31" s="20" t="str">
        <f>IF(A31="","",IFERROR('WBS e Stima Costi'!$B$31/J31,""))</f>
        <v/>
      </c>
      <c r="Q31" s="20" t="str">
        <f>IF(A31="","",'WBS e Stima Costi'!$B$31-N31)</f>
        <v/>
      </c>
      <c r="R31" s="28" t="str">
        <f>IF(A31="","",IFERROR(('WBS e Stima Costi'!$B$31-F31)/('WBS e Stima Costi'!$B$31-G31),""))</f>
        <v/>
      </c>
      <c r="S31" s="30" t="str">
        <f t="shared" si="6"/>
        <v/>
      </c>
      <c r="T31" s="30" t="str">
        <f t="shared" si="7"/>
        <v/>
      </c>
      <c r="U31" s="28" t="str">
        <f t="shared" si="5"/>
        <v/>
      </c>
      <c r="V31" s="22" t="str">
        <f>IF(A31="","",IFERROR((A31-Parametri!$B$15)/(Parametri!$B$16-Parametri!$B$15),""))</f>
        <v/>
      </c>
    </row>
    <row r="32" spans="1:22" x14ac:dyDescent="0.25">
      <c r="A32" s="27"/>
      <c r="B32" s="15"/>
      <c r="C32" s="7"/>
      <c r="D32" s="20" t="str">
        <f>IF(A32="","",C32*'WBS e Stima Costi'!$B$31)</f>
        <v/>
      </c>
      <c r="E32" s="7"/>
      <c r="F32" s="20" t="str">
        <f>IF(A32="","",E32*'WBS e Stima Costi'!$B$31)</f>
        <v/>
      </c>
      <c r="G32" s="12"/>
      <c r="H32" s="20" t="str">
        <f t="shared" si="0"/>
        <v/>
      </c>
      <c r="I32" s="20" t="str">
        <f t="shared" si="1"/>
        <v/>
      </c>
      <c r="J32" s="28" t="str">
        <f t="shared" si="2"/>
        <v/>
      </c>
      <c r="K32" s="28" t="str">
        <f t="shared" si="3"/>
        <v/>
      </c>
      <c r="L32" s="29" t="str">
        <f>IF(A32="","",IF(OR(J32="",K32=""),"",IF(AND(J32&gt;=Parametri!$B$11,K32&gt;=Parametri!$B$11),"Healthy",IF(AND(J32&gt;=Parametri!$B$12,K32&gt;=Parametri!$B$12),"Caution","Critical"))))</f>
        <v/>
      </c>
      <c r="M32" s="20" t="str">
        <f>IF(A32="","",IFERROR(('WBS e Stima Costi'!$B$31-F32)/J32,""))</f>
        <v/>
      </c>
      <c r="N32" s="20" t="str">
        <f t="shared" si="4"/>
        <v/>
      </c>
      <c r="O32" s="20" t="str">
        <f>IF(A32="","",G32+('WBS e Stima Costi'!$B$31-F32))</f>
        <v/>
      </c>
      <c r="P32" s="20" t="str">
        <f>IF(A32="","",IFERROR('WBS e Stima Costi'!$B$31/J32,""))</f>
        <v/>
      </c>
      <c r="Q32" s="20" t="str">
        <f>IF(A32="","",'WBS e Stima Costi'!$B$31-N32)</f>
        <v/>
      </c>
      <c r="R32" s="28" t="str">
        <f>IF(A32="","",IFERROR(('WBS e Stima Costi'!$B$31-F32)/('WBS e Stima Costi'!$B$31-G32),""))</f>
        <v/>
      </c>
      <c r="S32" s="30" t="str">
        <f t="shared" si="6"/>
        <v/>
      </c>
      <c r="T32" s="30" t="str">
        <f t="shared" si="7"/>
        <v/>
      </c>
      <c r="U32" s="28" t="str">
        <f t="shared" si="5"/>
        <v/>
      </c>
      <c r="V32" s="22" t="str">
        <f>IF(A32="","",IFERROR((A32-Parametri!$B$15)/(Parametri!$B$16-Parametri!$B$15),""))</f>
        <v/>
      </c>
    </row>
    <row r="33" spans="1:22" x14ac:dyDescent="0.25">
      <c r="A33" s="27"/>
      <c r="B33" s="15"/>
      <c r="C33" s="7"/>
      <c r="D33" s="20" t="str">
        <f>IF(A33="","",C33*'WBS e Stima Costi'!$B$31)</f>
        <v/>
      </c>
      <c r="E33" s="7"/>
      <c r="F33" s="20" t="str">
        <f>IF(A33="","",E33*'WBS e Stima Costi'!$B$31)</f>
        <v/>
      </c>
      <c r="G33" s="12"/>
      <c r="H33" s="20" t="str">
        <f t="shared" si="0"/>
        <v/>
      </c>
      <c r="I33" s="20" t="str">
        <f t="shared" si="1"/>
        <v/>
      </c>
      <c r="J33" s="28" t="str">
        <f t="shared" si="2"/>
        <v/>
      </c>
      <c r="K33" s="28" t="str">
        <f t="shared" si="3"/>
        <v/>
      </c>
      <c r="L33" s="29" t="str">
        <f>IF(A33="","",IF(OR(J33="",K33=""),"",IF(AND(J33&gt;=Parametri!$B$11,K33&gt;=Parametri!$B$11),"Healthy",IF(AND(J33&gt;=Parametri!$B$12,K33&gt;=Parametri!$B$12),"Caution","Critical"))))</f>
        <v/>
      </c>
      <c r="M33" s="20" t="str">
        <f>IF(A33="","",IFERROR(('WBS e Stima Costi'!$B$31-F33)/J33,""))</f>
        <v/>
      </c>
      <c r="N33" s="20" t="str">
        <f t="shared" si="4"/>
        <v/>
      </c>
      <c r="O33" s="20" t="str">
        <f>IF(A33="","",G33+('WBS e Stima Costi'!$B$31-F33))</f>
        <v/>
      </c>
      <c r="P33" s="20" t="str">
        <f>IF(A33="","",IFERROR('WBS e Stima Costi'!$B$31/J33,""))</f>
        <v/>
      </c>
      <c r="Q33" s="20" t="str">
        <f>IF(A33="","",'WBS e Stima Costi'!$B$31-N33)</f>
        <v/>
      </c>
      <c r="R33" s="28" t="str">
        <f>IF(A33="","",IFERROR(('WBS e Stima Costi'!$B$31-F33)/('WBS e Stima Costi'!$B$31-G33),""))</f>
        <v/>
      </c>
      <c r="S33" s="30" t="str">
        <f t="shared" si="6"/>
        <v/>
      </c>
      <c r="T33" s="30" t="str">
        <f t="shared" si="7"/>
        <v/>
      </c>
      <c r="U33" s="28" t="str">
        <f t="shared" si="5"/>
        <v/>
      </c>
      <c r="V33" s="22" t="str">
        <f>IF(A33="","",IFERROR((A33-Parametri!$B$15)/(Parametri!$B$16-Parametri!$B$15),""))</f>
        <v/>
      </c>
    </row>
  </sheetData>
  <mergeCells count="1">
    <mergeCell ref="A1:V1"/>
  </mergeCells>
  <conditionalFormatting sqref="L4:L33">
    <cfRule type="expression" dxfId="15" priority="1">
      <formula>L4="Sano"</formula>
    </cfRule>
    <cfRule type="expression" dxfId="14" priority="2">
      <formula>L4="Attenzione"</formula>
    </cfRule>
    <cfRule type="expression" dxfId="13" priority="3">
      <formula>L4="Critico"</formula>
    </cfRule>
  </conditionalFormatting>
  <conditionalFormatting sqref="Q4:Q33">
    <cfRule type="cellIs" dxfId="12" priority="10" operator="lessThan">
      <formula>0</formula>
    </cfRule>
  </conditionalFormatting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6"/>
  <sheetViews>
    <sheetView showGridLines="0" topLeftCell="A2" workbookViewId="0">
      <selection activeCell="B32" sqref="B32"/>
    </sheetView>
  </sheetViews>
  <sheetFormatPr defaultRowHeight="15" x14ac:dyDescent="0.25"/>
  <cols>
    <col min="1" max="1" width="46" style="40" customWidth="1"/>
    <col min="2" max="2" width="16" style="40" customWidth="1"/>
    <col min="3" max="3" width="18" style="40" customWidth="1"/>
    <col min="4" max="4" width="14" style="40" customWidth="1"/>
    <col min="5" max="5" width="24" style="40" customWidth="1"/>
    <col min="6" max="6" width="15" style="40" customWidth="1"/>
    <col min="7" max="7" width="12" style="40" customWidth="1"/>
    <col min="8" max="8" width="13" style="40" customWidth="1"/>
  </cols>
  <sheetData>
    <row r="1" spans="1:8" ht="33.950000000000003" customHeight="1" x14ac:dyDescent="0.25">
      <c r="A1" s="45" t="s">
        <v>134</v>
      </c>
      <c r="B1" s="43"/>
      <c r="C1" s="43"/>
      <c r="D1" s="43"/>
      <c r="E1" s="43"/>
      <c r="F1" s="43"/>
      <c r="G1" s="43"/>
      <c r="H1" s="43"/>
    </row>
    <row r="3" spans="1:8" ht="21.95" customHeight="1" x14ac:dyDescent="0.25">
      <c r="A3" s="44" t="s">
        <v>135</v>
      </c>
      <c r="B3" s="43"/>
      <c r="C3" s="43"/>
      <c r="D3" s="43"/>
      <c r="E3" s="43"/>
      <c r="F3" s="43"/>
      <c r="G3" s="43"/>
      <c r="H3" s="43"/>
    </row>
    <row r="4" spans="1:8" ht="26.1" customHeight="1" x14ac:dyDescent="0.25">
      <c r="A4" s="14" t="s">
        <v>136</v>
      </c>
      <c r="B4" s="14" t="s">
        <v>137</v>
      </c>
      <c r="C4" s="14" t="s">
        <v>138</v>
      </c>
      <c r="D4" s="14" t="s">
        <v>139</v>
      </c>
      <c r="E4" s="14" t="s">
        <v>140</v>
      </c>
      <c r="F4" s="14" t="s">
        <v>141</v>
      </c>
      <c r="G4" s="14" t="s">
        <v>142</v>
      </c>
      <c r="H4" s="14" t="s">
        <v>122</v>
      </c>
    </row>
    <row r="5" spans="1:8" x14ac:dyDescent="0.25">
      <c r="A5" s="15" t="s">
        <v>143</v>
      </c>
      <c r="B5" s="7">
        <v>0.4</v>
      </c>
      <c r="C5" s="12">
        <v>8000</v>
      </c>
      <c r="D5" s="12">
        <v>15000</v>
      </c>
      <c r="E5" s="9"/>
      <c r="F5" s="12">
        <v>0</v>
      </c>
      <c r="G5" s="30">
        <f t="shared" ref="G5:G12" si="0">IF(A5="","",D5-F5)</f>
        <v>15000</v>
      </c>
      <c r="H5" s="29" t="str">
        <f t="shared" ref="H5:H12" si="1">IF(A5="","",IF(G5&lt;=0,"Exhausted",IF(F5&gt;0,"Partial","Not triggered")))</f>
        <v>Not triggered</v>
      </c>
    </row>
    <row r="6" spans="1:8" x14ac:dyDescent="0.25">
      <c r="A6" s="15"/>
      <c r="B6" s="7"/>
      <c r="C6" s="12"/>
      <c r="D6" s="12"/>
      <c r="E6" s="9"/>
      <c r="F6" s="12"/>
      <c r="G6" s="30" t="str">
        <f t="shared" si="0"/>
        <v/>
      </c>
      <c r="H6" s="29" t="str">
        <f t="shared" si="1"/>
        <v/>
      </c>
    </row>
    <row r="7" spans="1:8" x14ac:dyDescent="0.25">
      <c r="A7" s="15"/>
      <c r="B7" s="7"/>
      <c r="C7" s="12"/>
      <c r="D7" s="12"/>
      <c r="E7" s="9"/>
      <c r="F7" s="12"/>
      <c r="G7" s="30" t="str">
        <f t="shared" si="0"/>
        <v/>
      </c>
      <c r="H7" s="29" t="str">
        <f t="shared" si="1"/>
        <v/>
      </c>
    </row>
    <row r="8" spans="1:8" x14ac:dyDescent="0.25">
      <c r="A8" s="15"/>
      <c r="B8" s="7"/>
      <c r="C8" s="12"/>
      <c r="D8" s="12"/>
      <c r="E8" s="9"/>
      <c r="F8" s="12"/>
      <c r="G8" s="30" t="str">
        <f t="shared" si="0"/>
        <v/>
      </c>
      <c r="H8" s="29" t="str">
        <f t="shared" si="1"/>
        <v/>
      </c>
    </row>
    <row r="9" spans="1:8" x14ac:dyDescent="0.25">
      <c r="A9" s="15"/>
      <c r="B9" s="7"/>
      <c r="C9" s="12"/>
      <c r="D9" s="12"/>
      <c r="E9" s="9"/>
      <c r="F9" s="12"/>
      <c r="G9" s="30" t="str">
        <f t="shared" si="0"/>
        <v/>
      </c>
      <c r="H9" s="29" t="str">
        <f t="shared" si="1"/>
        <v/>
      </c>
    </row>
    <row r="10" spans="1:8" x14ac:dyDescent="0.25">
      <c r="A10" s="15"/>
      <c r="B10" s="7"/>
      <c r="C10" s="12"/>
      <c r="D10" s="12"/>
      <c r="E10" s="9"/>
      <c r="F10" s="12"/>
      <c r="G10" s="30" t="str">
        <f t="shared" si="0"/>
        <v/>
      </c>
      <c r="H10" s="29" t="str">
        <f t="shared" si="1"/>
        <v/>
      </c>
    </row>
    <row r="11" spans="1:8" x14ac:dyDescent="0.25">
      <c r="A11" s="15"/>
      <c r="B11" s="7"/>
      <c r="C11" s="12"/>
      <c r="D11" s="12"/>
      <c r="E11" s="9"/>
      <c r="F11" s="12"/>
      <c r="G11" s="30" t="str">
        <f t="shared" si="0"/>
        <v/>
      </c>
      <c r="H11" s="29" t="str">
        <f t="shared" si="1"/>
        <v/>
      </c>
    </row>
    <row r="12" spans="1:8" x14ac:dyDescent="0.25">
      <c r="A12" s="15"/>
      <c r="B12" s="7"/>
      <c r="C12" s="12"/>
      <c r="D12" s="12"/>
      <c r="E12" s="9"/>
      <c r="F12" s="12"/>
      <c r="G12" s="30" t="str">
        <f t="shared" si="0"/>
        <v/>
      </c>
      <c r="H12" s="29" t="str">
        <f t="shared" si="1"/>
        <v/>
      </c>
    </row>
    <row r="14" spans="1:8" x14ac:dyDescent="0.25">
      <c r="A14" s="6" t="s">
        <v>144</v>
      </c>
      <c r="B14" s="20">
        <f>SUM(TabellaContingency[ContingenzaStanziata])</f>
        <v>15000</v>
      </c>
    </row>
    <row r="15" spans="1:8" x14ac:dyDescent="0.25">
      <c r="A15" s="6" t="s">
        <v>145</v>
      </c>
      <c r="B15" s="20">
        <f>SUM(TabellaContingency[ImportoUtilizzato])</f>
        <v>0</v>
      </c>
    </row>
    <row r="16" spans="1:8" x14ac:dyDescent="0.25">
      <c r="A16" s="6" t="s">
        <v>146</v>
      </c>
      <c r="B16" s="20">
        <f>'WBS e Stima Costi'!$B$30</f>
        <v>7295.7224999999999</v>
      </c>
    </row>
    <row r="18" spans="1:8" ht="21.95" customHeight="1" x14ac:dyDescent="0.25">
      <c r="A18" s="44" t="s">
        <v>147</v>
      </c>
      <c r="B18" s="43"/>
      <c r="C18" s="43"/>
      <c r="D18" s="43"/>
      <c r="E18" s="43"/>
      <c r="F18" s="43"/>
      <c r="G18" s="43"/>
      <c r="H18" s="43"/>
    </row>
    <row r="19" spans="1:8" ht="21.95" customHeight="1" x14ac:dyDescent="0.25">
      <c r="A19" s="14" t="s">
        <v>111</v>
      </c>
      <c r="B19" s="14" t="s">
        <v>148</v>
      </c>
      <c r="C19" s="14" t="s">
        <v>149</v>
      </c>
      <c r="D19" s="14" t="s">
        <v>150</v>
      </c>
      <c r="E19" s="14" t="s">
        <v>151</v>
      </c>
    </row>
    <row r="20" spans="1:8" x14ac:dyDescent="0.25">
      <c r="A20" s="9"/>
      <c r="B20" s="15"/>
      <c r="C20" s="15"/>
      <c r="D20" s="12"/>
      <c r="E20" s="15"/>
    </row>
    <row r="21" spans="1:8" x14ac:dyDescent="0.25">
      <c r="A21" s="9"/>
      <c r="B21" s="15"/>
      <c r="C21" s="15"/>
      <c r="D21" s="12"/>
      <c r="E21" s="15"/>
    </row>
    <row r="22" spans="1:8" x14ac:dyDescent="0.25">
      <c r="A22" s="9"/>
      <c r="B22" s="15"/>
      <c r="C22" s="15"/>
      <c r="D22" s="12"/>
      <c r="E22" s="15"/>
    </row>
    <row r="23" spans="1:8" x14ac:dyDescent="0.25">
      <c r="A23" s="9"/>
      <c r="B23" s="15"/>
      <c r="C23" s="15"/>
      <c r="D23" s="12"/>
      <c r="E23" s="15"/>
    </row>
    <row r="24" spans="1:8" x14ac:dyDescent="0.25">
      <c r="A24" s="9"/>
      <c r="B24" s="15"/>
      <c r="C24" s="15"/>
      <c r="D24" s="12"/>
      <c r="E24" s="15"/>
    </row>
    <row r="25" spans="1:8" x14ac:dyDescent="0.25">
      <c r="A25" s="9"/>
      <c r="B25" s="15"/>
      <c r="C25" s="15"/>
      <c r="D25" s="12"/>
      <c r="E25" s="15"/>
    </row>
    <row r="27" spans="1:8" x14ac:dyDescent="0.25">
      <c r="A27" s="6" t="s">
        <v>152</v>
      </c>
      <c r="B27" s="20">
        <f>'WBS e Stima Costi'!$B$32</f>
        <v>2796.6936249999999</v>
      </c>
    </row>
    <row r="28" spans="1:8" x14ac:dyDescent="0.25">
      <c r="A28" s="6" t="s">
        <v>145</v>
      </c>
      <c r="B28" s="20">
        <f>SUM(TabellaManagementReserve[Importo])</f>
        <v>0</v>
      </c>
    </row>
    <row r="29" spans="1:8" x14ac:dyDescent="0.25">
      <c r="A29" s="6" t="s">
        <v>153</v>
      </c>
      <c r="B29" s="20">
        <f>B27-B28</f>
        <v>2796.6936249999999</v>
      </c>
    </row>
    <row r="31" spans="1:8" ht="21.95" customHeight="1" x14ac:dyDescent="0.25">
      <c r="A31" s="44" t="s">
        <v>154</v>
      </c>
      <c r="B31" s="43"/>
      <c r="C31" s="43"/>
      <c r="D31" s="43"/>
      <c r="E31" s="43"/>
      <c r="F31" s="43"/>
      <c r="G31" s="43"/>
      <c r="H31" s="43"/>
    </row>
    <row r="32" spans="1:8" x14ac:dyDescent="0.25">
      <c r="A32" s="6" t="s">
        <v>155</v>
      </c>
      <c r="B32" s="17">
        <f>Parametri!$B$17</f>
        <v>10</v>
      </c>
    </row>
    <row r="33" spans="1:2" x14ac:dyDescent="0.25">
      <c r="A33" s="6" t="s">
        <v>156</v>
      </c>
      <c r="B33" s="10">
        <v>0</v>
      </c>
    </row>
    <row r="34" spans="1:2" x14ac:dyDescent="0.25">
      <c r="A34" s="6" t="s">
        <v>157</v>
      </c>
      <c r="B34" s="22">
        <f>IFERROR(B33/B32,"")</f>
        <v>0</v>
      </c>
    </row>
    <row r="35" spans="1:2" x14ac:dyDescent="0.25">
      <c r="A35" s="6" t="s">
        <v>158</v>
      </c>
      <c r="B35" s="22">
        <f>IFERROR(LOOKUP(2,1/('Monitoraggio EVM'!$A$4:$A$33&lt;&gt;""),'Monitoraggio EVM'!$E$4:$E$33),"")</f>
        <v>0</v>
      </c>
    </row>
    <row r="36" spans="1:2" x14ac:dyDescent="0.25">
      <c r="A36" s="6" t="s">
        <v>159</v>
      </c>
      <c r="B36" s="28" t="str">
        <f>IFERROR(B34/B35,"")</f>
        <v/>
      </c>
    </row>
  </sheetData>
  <mergeCells count="4">
    <mergeCell ref="A18:H18"/>
    <mergeCell ref="A3:H3"/>
    <mergeCell ref="A31:H31"/>
    <mergeCell ref="A1:H1"/>
  </mergeCells>
  <conditionalFormatting sqref="B36">
    <cfRule type="cellIs" dxfId="11" priority="4" operator="greaterThan">
      <formula>1</formula>
    </cfRule>
    <cfRule type="expression" dxfId="10" priority="5">
      <formula>AND(B36&lt;=1,B36&gt;0.7)</formula>
    </cfRule>
    <cfRule type="cellIs" dxfId="9" priority="6" operator="lessThanOrEqual">
      <formula>0.7</formula>
    </cfRule>
  </conditionalFormatting>
  <conditionalFormatting sqref="H5:H12">
    <cfRule type="expression" dxfId="8" priority="1">
      <formula>H5="Esaurito"</formula>
    </cfRule>
    <cfRule type="expression" dxfId="7" priority="2">
      <formula>H5="Parziale"</formula>
    </cfRule>
    <cfRule type="expression" dxfId="6" priority="3">
      <formula>H5="Non attivato"</formula>
    </cfRule>
  </conditionalFormatting>
  <pageMargins left="0.75" right="0.75" top="1" bottom="1" header="0.5" footer="0.5"/>
  <legacyDrawing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7"/>
  <sheetViews>
    <sheetView showGridLines="0" workbookViewId="0">
      <selection sqref="A1:N1"/>
    </sheetView>
  </sheetViews>
  <sheetFormatPr defaultRowHeight="15" x14ac:dyDescent="0.25"/>
  <cols>
    <col min="1" max="1" width="46" style="40" customWidth="1"/>
    <col min="2" max="3" width="12" style="40" customWidth="1"/>
    <col min="4" max="5" width="13" style="40" customWidth="1"/>
    <col min="6" max="6" width="10" style="40" customWidth="1"/>
    <col min="7" max="7" width="12" style="40" customWidth="1"/>
    <col min="8" max="8" width="14" style="40" customWidth="1"/>
    <col min="9" max="9" width="11" style="40" customWidth="1"/>
    <col min="10" max="11" width="12" style="40" customWidth="1"/>
    <col min="12" max="12" width="13" style="40" customWidth="1"/>
    <col min="13" max="13" width="10" style="40" customWidth="1"/>
    <col min="14" max="14" width="13" style="40" customWidth="1"/>
    <col min="15" max="15" width="12" style="40" customWidth="1"/>
    <col min="16" max="16" width="11" style="40" customWidth="1"/>
    <col min="17" max="17" width="12" style="40" customWidth="1"/>
  </cols>
  <sheetData>
    <row r="1" spans="1:17" ht="33.950000000000003" customHeight="1" x14ac:dyDescent="0.25">
      <c r="A1" s="45" t="s">
        <v>160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3" spans="1:17" ht="21.95" customHeight="1" x14ac:dyDescent="0.25">
      <c r="A3" s="44" t="s">
        <v>161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17" ht="30" customHeight="1" x14ac:dyDescent="0.25">
      <c r="A4" s="14" t="s">
        <v>162</v>
      </c>
      <c r="B4" s="14" t="s">
        <v>83</v>
      </c>
      <c r="C4" s="14" t="s">
        <v>85</v>
      </c>
      <c r="D4" s="14" t="s">
        <v>163</v>
      </c>
      <c r="E4" s="14" t="s">
        <v>164</v>
      </c>
      <c r="F4" s="14" t="s">
        <v>165</v>
      </c>
      <c r="G4" s="14" t="s">
        <v>166</v>
      </c>
      <c r="H4" s="14" t="s">
        <v>167</v>
      </c>
      <c r="I4" s="14" t="s">
        <v>168</v>
      </c>
      <c r="J4" s="14" t="s">
        <v>169</v>
      </c>
      <c r="K4" s="14" t="s">
        <v>170</v>
      </c>
      <c r="L4" s="14" t="s">
        <v>171</v>
      </c>
      <c r="M4" s="14" t="s">
        <v>172</v>
      </c>
      <c r="N4" s="14" t="s">
        <v>173</v>
      </c>
      <c r="O4" s="14" t="s">
        <v>174</v>
      </c>
      <c r="P4" s="14" t="s">
        <v>175</v>
      </c>
      <c r="Q4" s="14" t="s">
        <v>176</v>
      </c>
    </row>
    <row r="5" spans="1:17" x14ac:dyDescent="0.25">
      <c r="A5" s="15" t="s">
        <v>177</v>
      </c>
      <c r="B5" s="9"/>
      <c r="C5" s="9"/>
      <c r="D5" s="31">
        <v>30</v>
      </c>
      <c r="E5" s="31">
        <v>24</v>
      </c>
      <c r="F5" s="32">
        <f t="shared" ref="F5:F20" si="0">IF(A5="","",E5)</f>
        <v>24</v>
      </c>
      <c r="G5" s="32">
        <f>IF(A5="","",IFERROR(AVERAGE(INDEX(F:F,MAX(5,ROW()-Parametri!$B$22+1)):F5),""))</f>
        <v>24</v>
      </c>
      <c r="H5" s="30">
        <f>IF(A5="","",Parametri!$B$21)</f>
        <v>12000</v>
      </c>
      <c r="I5" s="33">
        <f t="shared" ref="I5:I20" si="1">IF(A5="","",IFERROR(H5/G5,""))</f>
        <v>500</v>
      </c>
      <c r="J5" s="32">
        <f>IF(A5="","",E5)</f>
        <v>24</v>
      </c>
      <c r="K5" s="30">
        <f t="shared" ref="K5:K20" si="2">IF(A5="","",J5*I5)</f>
        <v>12000</v>
      </c>
      <c r="L5" s="12">
        <v>12000</v>
      </c>
      <c r="M5" s="34">
        <f t="shared" ref="M5:M20" si="3">IF(A5="","",IFERROR(K5/L5,""))</f>
        <v>1</v>
      </c>
      <c r="N5" s="31">
        <v>180</v>
      </c>
      <c r="O5" s="34">
        <f t="shared" ref="O5:O20" si="4">IF(A5="","",IFERROR(N5/G5,""))</f>
        <v>7.5</v>
      </c>
      <c r="P5" s="35">
        <f>IF(A5="","",O5*Parametri!$B$20)</f>
        <v>105</v>
      </c>
      <c r="Q5" s="30">
        <f t="shared" ref="Q5:Q20" si="5">IF(A5="","",O5*H5+L5)</f>
        <v>102000</v>
      </c>
    </row>
    <row r="6" spans="1:17" x14ac:dyDescent="0.25">
      <c r="A6" s="15" t="s">
        <v>178</v>
      </c>
      <c r="B6" s="9"/>
      <c r="C6" s="9"/>
      <c r="D6" s="31">
        <v>30</v>
      </c>
      <c r="E6" s="31">
        <v>28</v>
      </c>
      <c r="F6" s="32">
        <f t="shared" si="0"/>
        <v>28</v>
      </c>
      <c r="G6" s="32">
        <f>IF(A6="","",IFERROR(AVERAGE(INDEX(F:F,MAX(5,ROW()-Parametri!$B$22+1)):F6),""))</f>
        <v>26</v>
      </c>
      <c r="H6" s="30">
        <f>IF(A6="","",Parametri!$B$21)</f>
        <v>12000</v>
      </c>
      <c r="I6" s="33">
        <f t="shared" si="1"/>
        <v>461.53846153846155</v>
      </c>
      <c r="J6" s="32">
        <f t="shared" ref="J6:J20" si="6">IF(A6="","",J5+E6)</f>
        <v>52</v>
      </c>
      <c r="K6" s="30">
        <f t="shared" si="2"/>
        <v>24000</v>
      </c>
      <c r="L6" s="12">
        <v>24000</v>
      </c>
      <c r="M6" s="34">
        <f t="shared" si="3"/>
        <v>1</v>
      </c>
      <c r="N6" s="31">
        <v>152</v>
      </c>
      <c r="O6" s="34">
        <f t="shared" si="4"/>
        <v>5.8461538461538458</v>
      </c>
      <c r="P6" s="35">
        <f>IF(A6="","",O6*Parametri!$B$20)</f>
        <v>81.84615384615384</v>
      </c>
      <c r="Q6" s="30">
        <f t="shared" si="5"/>
        <v>94153.846153846156</v>
      </c>
    </row>
    <row r="7" spans="1:17" x14ac:dyDescent="0.25">
      <c r="A7" s="15" t="s">
        <v>179</v>
      </c>
      <c r="B7" s="9"/>
      <c r="C7" s="9"/>
      <c r="D7" s="31">
        <v>30</v>
      </c>
      <c r="E7" s="31">
        <v>31</v>
      </c>
      <c r="F7" s="32">
        <f t="shared" si="0"/>
        <v>31</v>
      </c>
      <c r="G7" s="32">
        <f>IF(A7="","",IFERROR(AVERAGE(INDEX(F:F,MAX(5,ROW()-Parametri!$B$22+1)):F7),""))</f>
        <v>27.666666666666668</v>
      </c>
      <c r="H7" s="30">
        <f>IF(A7="","",Parametri!$B$21)</f>
        <v>12000</v>
      </c>
      <c r="I7" s="33">
        <f t="shared" si="1"/>
        <v>433.73493975903614</v>
      </c>
      <c r="J7" s="32">
        <f t="shared" si="6"/>
        <v>83</v>
      </c>
      <c r="K7" s="30">
        <f t="shared" si="2"/>
        <v>36000</v>
      </c>
      <c r="L7" s="12">
        <v>36000</v>
      </c>
      <c r="M7" s="34">
        <f t="shared" si="3"/>
        <v>1</v>
      </c>
      <c r="N7" s="31">
        <v>121</v>
      </c>
      <c r="O7" s="34">
        <f t="shared" si="4"/>
        <v>4.3734939759036147</v>
      </c>
      <c r="P7" s="35">
        <f>IF(A7="","",O7*Parametri!$B$20)</f>
        <v>61.228915662650607</v>
      </c>
      <c r="Q7" s="30">
        <f t="shared" si="5"/>
        <v>88481.927710843374</v>
      </c>
    </row>
    <row r="8" spans="1:17" x14ac:dyDescent="0.25">
      <c r="A8" s="15"/>
      <c r="B8" s="9"/>
      <c r="C8" s="9"/>
      <c r="D8" s="31"/>
      <c r="E8" s="31"/>
      <c r="F8" s="32" t="str">
        <f t="shared" si="0"/>
        <v/>
      </c>
      <c r="G8" s="32" t="str">
        <f>IF(A8="","",IFERROR(AVERAGE(INDEX(F:F,MAX(5,ROW()-Parametri!$B$22+1)):F8),""))</f>
        <v/>
      </c>
      <c r="H8" s="30" t="str">
        <f>IF(A8="","",Parametri!$B$21)</f>
        <v/>
      </c>
      <c r="I8" s="33" t="str">
        <f t="shared" si="1"/>
        <v/>
      </c>
      <c r="J8" s="32" t="str">
        <f t="shared" si="6"/>
        <v/>
      </c>
      <c r="K8" s="30" t="str">
        <f t="shared" si="2"/>
        <v/>
      </c>
      <c r="L8" s="12"/>
      <c r="M8" s="34" t="str">
        <f t="shared" si="3"/>
        <v/>
      </c>
      <c r="N8" s="31"/>
      <c r="O8" s="34" t="str">
        <f t="shared" si="4"/>
        <v/>
      </c>
      <c r="P8" s="35" t="str">
        <f>IF(A8="","",O8*Parametri!$B$20)</f>
        <v/>
      </c>
      <c r="Q8" s="30" t="str">
        <f t="shared" si="5"/>
        <v/>
      </c>
    </row>
    <row r="9" spans="1:17" x14ac:dyDescent="0.25">
      <c r="A9" s="15"/>
      <c r="B9" s="9"/>
      <c r="C9" s="9"/>
      <c r="D9" s="31"/>
      <c r="E9" s="31"/>
      <c r="F9" s="32" t="str">
        <f t="shared" si="0"/>
        <v/>
      </c>
      <c r="G9" s="32" t="str">
        <f>IF(A9="","",IFERROR(AVERAGE(INDEX(F:F,MAX(5,ROW()-Parametri!$B$22+1)):F9),""))</f>
        <v/>
      </c>
      <c r="H9" s="30" t="str">
        <f>IF(A9="","",Parametri!$B$21)</f>
        <v/>
      </c>
      <c r="I9" s="33" t="str">
        <f t="shared" si="1"/>
        <v/>
      </c>
      <c r="J9" s="32" t="str">
        <f t="shared" si="6"/>
        <v/>
      </c>
      <c r="K9" s="30" t="str">
        <f t="shared" si="2"/>
        <v/>
      </c>
      <c r="L9" s="12"/>
      <c r="M9" s="34" t="str">
        <f t="shared" si="3"/>
        <v/>
      </c>
      <c r="N9" s="31"/>
      <c r="O9" s="34" t="str">
        <f t="shared" si="4"/>
        <v/>
      </c>
      <c r="P9" s="35" t="str">
        <f>IF(A9="","",O9*Parametri!$B$20)</f>
        <v/>
      </c>
      <c r="Q9" s="30" t="str">
        <f t="shared" si="5"/>
        <v/>
      </c>
    </row>
    <row r="10" spans="1:17" x14ac:dyDescent="0.25">
      <c r="A10" s="15"/>
      <c r="B10" s="9"/>
      <c r="C10" s="9"/>
      <c r="D10" s="31"/>
      <c r="E10" s="31"/>
      <c r="F10" s="32" t="str">
        <f t="shared" si="0"/>
        <v/>
      </c>
      <c r="G10" s="32" t="str">
        <f>IF(A10="","",IFERROR(AVERAGE(INDEX(F:F,MAX(5,ROW()-Parametri!$B$22+1)):F10),""))</f>
        <v/>
      </c>
      <c r="H10" s="30" t="str">
        <f>IF(A10="","",Parametri!$B$21)</f>
        <v/>
      </c>
      <c r="I10" s="33" t="str">
        <f t="shared" si="1"/>
        <v/>
      </c>
      <c r="J10" s="32" t="str">
        <f t="shared" si="6"/>
        <v/>
      </c>
      <c r="K10" s="30" t="str">
        <f t="shared" si="2"/>
        <v/>
      </c>
      <c r="L10" s="12"/>
      <c r="M10" s="34" t="str">
        <f t="shared" si="3"/>
        <v/>
      </c>
      <c r="N10" s="31"/>
      <c r="O10" s="34" t="str">
        <f t="shared" si="4"/>
        <v/>
      </c>
      <c r="P10" s="35" t="str">
        <f>IF(A10="","",O10*Parametri!$B$20)</f>
        <v/>
      </c>
      <c r="Q10" s="30" t="str">
        <f t="shared" si="5"/>
        <v/>
      </c>
    </row>
    <row r="11" spans="1:17" x14ac:dyDescent="0.25">
      <c r="A11" s="15"/>
      <c r="B11" s="9"/>
      <c r="C11" s="9"/>
      <c r="D11" s="31"/>
      <c r="E11" s="31"/>
      <c r="F11" s="32" t="str">
        <f t="shared" si="0"/>
        <v/>
      </c>
      <c r="G11" s="32" t="str">
        <f>IF(A11="","",IFERROR(AVERAGE(INDEX(F:F,MAX(5,ROW()-Parametri!$B$22+1)):F11),""))</f>
        <v/>
      </c>
      <c r="H11" s="30" t="str">
        <f>IF(A11="","",Parametri!$B$21)</f>
        <v/>
      </c>
      <c r="I11" s="33" t="str">
        <f t="shared" si="1"/>
        <v/>
      </c>
      <c r="J11" s="32" t="str">
        <f t="shared" si="6"/>
        <v/>
      </c>
      <c r="K11" s="30" t="str">
        <f t="shared" si="2"/>
        <v/>
      </c>
      <c r="L11" s="12"/>
      <c r="M11" s="34" t="str">
        <f t="shared" si="3"/>
        <v/>
      </c>
      <c r="N11" s="31"/>
      <c r="O11" s="34" t="str">
        <f t="shared" si="4"/>
        <v/>
      </c>
      <c r="P11" s="35" t="str">
        <f>IF(A11="","",O11*Parametri!$B$20)</f>
        <v/>
      </c>
      <c r="Q11" s="30" t="str">
        <f t="shared" si="5"/>
        <v/>
      </c>
    </row>
    <row r="12" spans="1:17" x14ac:dyDescent="0.25">
      <c r="A12" s="15"/>
      <c r="B12" s="9"/>
      <c r="C12" s="9"/>
      <c r="D12" s="31"/>
      <c r="E12" s="31"/>
      <c r="F12" s="32" t="str">
        <f t="shared" si="0"/>
        <v/>
      </c>
      <c r="G12" s="32" t="str">
        <f>IF(A12="","",IFERROR(AVERAGE(INDEX(F:F,MAX(5,ROW()-Parametri!$B$22+1)):F12),""))</f>
        <v/>
      </c>
      <c r="H12" s="30" t="str">
        <f>IF(A12="","",Parametri!$B$21)</f>
        <v/>
      </c>
      <c r="I12" s="33" t="str">
        <f t="shared" si="1"/>
        <v/>
      </c>
      <c r="J12" s="32" t="str">
        <f t="shared" si="6"/>
        <v/>
      </c>
      <c r="K12" s="30" t="str">
        <f t="shared" si="2"/>
        <v/>
      </c>
      <c r="L12" s="12"/>
      <c r="M12" s="34" t="str">
        <f t="shared" si="3"/>
        <v/>
      </c>
      <c r="N12" s="31"/>
      <c r="O12" s="34" t="str">
        <f t="shared" si="4"/>
        <v/>
      </c>
      <c r="P12" s="35" t="str">
        <f>IF(A12="","",O12*Parametri!$B$20)</f>
        <v/>
      </c>
      <c r="Q12" s="30" t="str">
        <f t="shared" si="5"/>
        <v/>
      </c>
    </row>
    <row r="13" spans="1:17" x14ac:dyDescent="0.25">
      <c r="A13" s="15"/>
      <c r="B13" s="9"/>
      <c r="C13" s="9"/>
      <c r="D13" s="31"/>
      <c r="E13" s="31"/>
      <c r="F13" s="32" t="str">
        <f t="shared" si="0"/>
        <v/>
      </c>
      <c r="G13" s="32" t="str">
        <f>IF(A13="","",IFERROR(AVERAGE(INDEX(F:F,MAX(5,ROW()-Parametri!$B$22+1)):F13),""))</f>
        <v/>
      </c>
      <c r="H13" s="30" t="str">
        <f>IF(A13="","",Parametri!$B$21)</f>
        <v/>
      </c>
      <c r="I13" s="33" t="str">
        <f t="shared" si="1"/>
        <v/>
      </c>
      <c r="J13" s="32" t="str">
        <f t="shared" si="6"/>
        <v/>
      </c>
      <c r="K13" s="30" t="str">
        <f t="shared" si="2"/>
        <v/>
      </c>
      <c r="L13" s="12"/>
      <c r="M13" s="34" t="str">
        <f t="shared" si="3"/>
        <v/>
      </c>
      <c r="N13" s="31"/>
      <c r="O13" s="34" t="str">
        <f t="shared" si="4"/>
        <v/>
      </c>
      <c r="P13" s="35" t="str">
        <f>IF(A13="","",O13*Parametri!$B$20)</f>
        <v/>
      </c>
      <c r="Q13" s="30" t="str">
        <f t="shared" si="5"/>
        <v/>
      </c>
    </row>
    <row r="14" spans="1:17" x14ac:dyDescent="0.25">
      <c r="A14" s="15"/>
      <c r="B14" s="9"/>
      <c r="C14" s="9"/>
      <c r="D14" s="31"/>
      <c r="E14" s="31"/>
      <c r="F14" s="32" t="str">
        <f t="shared" si="0"/>
        <v/>
      </c>
      <c r="G14" s="32" t="str">
        <f>IF(A14="","",IFERROR(AVERAGE(INDEX(F:F,MAX(5,ROW()-Parametri!$B$22+1)):F14),""))</f>
        <v/>
      </c>
      <c r="H14" s="30" t="str">
        <f>IF(A14="","",Parametri!$B$21)</f>
        <v/>
      </c>
      <c r="I14" s="33" t="str">
        <f t="shared" si="1"/>
        <v/>
      </c>
      <c r="J14" s="32" t="str">
        <f t="shared" si="6"/>
        <v/>
      </c>
      <c r="K14" s="30" t="str">
        <f t="shared" si="2"/>
        <v/>
      </c>
      <c r="L14" s="12"/>
      <c r="M14" s="34" t="str">
        <f t="shared" si="3"/>
        <v/>
      </c>
      <c r="N14" s="31"/>
      <c r="O14" s="34" t="str">
        <f t="shared" si="4"/>
        <v/>
      </c>
      <c r="P14" s="35" t="str">
        <f>IF(A14="","",O14*Parametri!$B$20)</f>
        <v/>
      </c>
      <c r="Q14" s="30" t="str">
        <f t="shared" si="5"/>
        <v/>
      </c>
    </row>
    <row r="15" spans="1:17" x14ac:dyDescent="0.25">
      <c r="A15" s="15"/>
      <c r="B15" s="9"/>
      <c r="C15" s="9"/>
      <c r="D15" s="31"/>
      <c r="E15" s="31"/>
      <c r="F15" s="32" t="str">
        <f t="shared" si="0"/>
        <v/>
      </c>
      <c r="G15" s="32" t="str">
        <f>IF(A15="","",IFERROR(AVERAGE(INDEX(F:F,MAX(5,ROW()-Parametri!$B$22+1)):F15),""))</f>
        <v/>
      </c>
      <c r="H15" s="30" t="str">
        <f>IF(A15="","",Parametri!$B$21)</f>
        <v/>
      </c>
      <c r="I15" s="33" t="str">
        <f t="shared" si="1"/>
        <v/>
      </c>
      <c r="J15" s="32" t="str">
        <f t="shared" si="6"/>
        <v/>
      </c>
      <c r="K15" s="30" t="str">
        <f t="shared" si="2"/>
        <v/>
      </c>
      <c r="L15" s="12"/>
      <c r="M15" s="34" t="str">
        <f t="shared" si="3"/>
        <v/>
      </c>
      <c r="N15" s="31"/>
      <c r="O15" s="34" t="str">
        <f t="shared" si="4"/>
        <v/>
      </c>
      <c r="P15" s="35" t="str">
        <f>IF(A15="","",O15*Parametri!$B$20)</f>
        <v/>
      </c>
      <c r="Q15" s="30" t="str">
        <f t="shared" si="5"/>
        <v/>
      </c>
    </row>
    <row r="16" spans="1:17" x14ac:dyDescent="0.25">
      <c r="A16" s="15"/>
      <c r="B16" s="9"/>
      <c r="C16" s="9"/>
      <c r="D16" s="31"/>
      <c r="E16" s="31"/>
      <c r="F16" s="32" t="str">
        <f t="shared" si="0"/>
        <v/>
      </c>
      <c r="G16" s="32" t="str">
        <f>IF(A16="","",IFERROR(AVERAGE(INDEX(F:F,MAX(5,ROW()-Parametri!$B$22+1)):F16),""))</f>
        <v/>
      </c>
      <c r="H16" s="30" t="str">
        <f>IF(A16="","",Parametri!$B$21)</f>
        <v/>
      </c>
      <c r="I16" s="33" t="str">
        <f t="shared" si="1"/>
        <v/>
      </c>
      <c r="J16" s="32" t="str">
        <f t="shared" si="6"/>
        <v/>
      </c>
      <c r="K16" s="30" t="str">
        <f t="shared" si="2"/>
        <v/>
      </c>
      <c r="L16" s="12"/>
      <c r="M16" s="34" t="str">
        <f t="shared" si="3"/>
        <v/>
      </c>
      <c r="N16" s="31"/>
      <c r="O16" s="34" t="str">
        <f t="shared" si="4"/>
        <v/>
      </c>
      <c r="P16" s="35" t="str">
        <f>IF(A16="","",O16*Parametri!$B$20)</f>
        <v/>
      </c>
      <c r="Q16" s="30" t="str">
        <f t="shared" si="5"/>
        <v/>
      </c>
    </row>
    <row r="17" spans="1:17" x14ac:dyDescent="0.25">
      <c r="A17" s="15"/>
      <c r="B17" s="9"/>
      <c r="C17" s="9"/>
      <c r="D17" s="31"/>
      <c r="E17" s="31"/>
      <c r="F17" s="32" t="str">
        <f t="shared" si="0"/>
        <v/>
      </c>
      <c r="G17" s="32" t="str">
        <f>IF(A17="","",IFERROR(AVERAGE(INDEX(F:F,MAX(5,ROW()-Parametri!$B$22+1)):F17),""))</f>
        <v/>
      </c>
      <c r="H17" s="30" t="str">
        <f>IF(A17="","",Parametri!$B$21)</f>
        <v/>
      </c>
      <c r="I17" s="33" t="str">
        <f t="shared" si="1"/>
        <v/>
      </c>
      <c r="J17" s="32" t="str">
        <f t="shared" si="6"/>
        <v/>
      </c>
      <c r="K17" s="30" t="str">
        <f t="shared" si="2"/>
        <v/>
      </c>
      <c r="L17" s="12"/>
      <c r="M17" s="34" t="str">
        <f t="shared" si="3"/>
        <v/>
      </c>
      <c r="N17" s="31"/>
      <c r="O17" s="34" t="str">
        <f t="shared" si="4"/>
        <v/>
      </c>
      <c r="P17" s="35" t="str">
        <f>IF(A17="","",O17*Parametri!$B$20)</f>
        <v/>
      </c>
      <c r="Q17" s="30" t="str">
        <f t="shared" si="5"/>
        <v/>
      </c>
    </row>
    <row r="18" spans="1:17" x14ac:dyDescent="0.25">
      <c r="A18" s="15"/>
      <c r="B18" s="9"/>
      <c r="C18" s="9"/>
      <c r="D18" s="31"/>
      <c r="E18" s="31"/>
      <c r="F18" s="32" t="str">
        <f t="shared" si="0"/>
        <v/>
      </c>
      <c r="G18" s="32" t="str">
        <f>IF(A18="","",IFERROR(AVERAGE(INDEX(F:F,MAX(5,ROW()-Parametri!$B$22+1)):F18),""))</f>
        <v/>
      </c>
      <c r="H18" s="30" t="str">
        <f>IF(A18="","",Parametri!$B$21)</f>
        <v/>
      </c>
      <c r="I18" s="33" t="str">
        <f t="shared" si="1"/>
        <v/>
      </c>
      <c r="J18" s="32" t="str">
        <f t="shared" si="6"/>
        <v/>
      </c>
      <c r="K18" s="30" t="str">
        <f t="shared" si="2"/>
        <v/>
      </c>
      <c r="L18" s="12"/>
      <c r="M18" s="34" t="str">
        <f t="shared" si="3"/>
        <v/>
      </c>
      <c r="N18" s="31"/>
      <c r="O18" s="34" t="str">
        <f t="shared" si="4"/>
        <v/>
      </c>
      <c r="P18" s="35" t="str">
        <f>IF(A18="","",O18*Parametri!$B$20)</f>
        <v/>
      </c>
      <c r="Q18" s="30" t="str">
        <f t="shared" si="5"/>
        <v/>
      </c>
    </row>
    <row r="19" spans="1:17" x14ac:dyDescent="0.25">
      <c r="A19" s="15"/>
      <c r="B19" s="9"/>
      <c r="C19" s="9"/>
      <c r="D19" s="31"/>
      <c r="E19" s="31"/>
      <c r="F19" s="32" t="str">
        <f t="shared" si="0"/>
        <v/>
      </c>
      <c r="G19" s="32" t="str">
        <f>IF(A19="","",IFERROR(AVERAGE(INDEX(F:F,MAX(5,ROW()-Parametri!$B$22+1)):F19),""))</f>
        <v/>
      </c>
      <c r="H19" s="30" t="str">
        <f>IF(A19="","",Parametri!$B$21)</f>
        <v/>
      </c>
      <c r="I19" s="33" t="str">
        <f t="shared" si="1"/>
        <v/>
      </c>
      <c r="J19" s="32" t="str">
        <f t="shared" si="6"/>
        <v/>
      </c>
      <c r="K19" s="30" t="str">
        <f t="shared" si="2"/>
        <v/>
      </c>
      <c r="L19" s="12"/>
      <c r="M19" s="34" t="str">
        <f t="shared" si="3"/>
        <v/>
      </c>
      <c r="N19" s="31"/>
      <c r="O19" s="34" t="str">
        <f t="shared" si="4"/>
        <v/>
      </c>
      <c r="P19" s="35" t="str">
        <f>IF(A19="","",O19*Parametri!$B$20)</f>
        <v/>
      </c>
      <c r="Q19" s="30" t="str">
        <f t="shared" si="5"/>
        <v/>
      </c>
    </row>
    <row r="20" spans="1:17" x14ac:dyDescent="0.25">
      <c r="A20" s="15"/>
      <c r="B20" s="9"/>
      <c r="C20" s="9"/>
      <c r="D20" s="31"/>
      <c r="E20" s="31"/>
      <c r="F20" s="32" t="str">
        <f t="shared" si="0"/>
        <v/>
      </c>
      <c r="G20" s="32" t="str">
        <f>IF(A20="","",IFERROR(AVERAGE(INDEX(F:F,MAX(5,ROW()-Parametri!$B$22+1)):F20),""))</f>
        <v/>
      </c>
      <c r="H20" s="30" t="str">
        <f>IF(A20="","",Parametri!$B$21)</f>
        <v/>
      </c>
      <c r="I20" s="33" t="str">
        <f t="shared" si="1"/>
        <v/>
      </c>
      <c r="J20" s="32" t="str">
        <f t="shared" si="6"/>
        <v/>
      </c>
      <c r="K20" s="30" t="str">
        <f t="shared" si="2"/>
        <v/>
      </c>
      <c r="L20" s="12"/>
      <c r="M20" s="34" t="str">
        <f t="shared" si="3"/>
        <v/>
      </c>
      <c r="N20" s="31"/>
      <c r="O20" s="34" t="str">
        <f t="shared" si="4"/>
        <v/>
      </c>
      <c r="P20" s="35" t="str">
        <f>IF(A20="","",O20*Parametri!$B$20)</f>
        <v/>
      </c>
      <c r="Q20" s="30" t="str">
        <f t="shared" si="5"/>
        <v/>
      </c>
    </row>
    <row r="22" spans="1:17" ht="21.95" customHeight="1" x14ac:dyDescent="0.25">
      <c r="A22" s="44" t="s">
        <v>180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</row>
    <row r="23" spans="1:17" x14ac:dyDescent="0.25">
      <c r="A23" s="6" t="s">
        <v>181</v>
      </c>
      <c r="B23" s="18">
        <v>8</v>
      </c>
    </row>
    <row r="24" spans="1:17" x14ac:dyDescent="0.25">
      <c r="A24" s="6" t="s">
        <v>182</v>
      </c>
      <c r="B24" s="10">
        <v>6</v>
      </c>
    </row>
    <row r="25" spans="1:17" x14ac:dyDescent="0.25">
      <c r="A25" s="6" t="s">
        <v>183</v>
      </c>
      <c r="B25" s="28">
        <f>B23*B24/7</f>
        <v>6.8571428571428568</v>
      </c>
    </row>
    <row r="26" spans="1:17" x14ac:dyDescent="0.25">
      <c r="A26" s="6" t="s">
        <v>184</v>
      </c>
      <c r="B26" s="8">
        <v>6</v>
      </c>
    </row>
    <row r="27" spans="1:17" x14ac:dyDescent="0.25">
      <c r="A27" s="6" t="s">
        <v>185</v>
      </c>
      <c r="B27" s="28">
        <f>B26-B25</f>
        <v>-0.85714285714285676</v>
      </c>
    </row>
  </sheetData>
  <mergeCells count="3">
    <mergeCell ref="A3:N3"/>
    <mergeCell ref="A22:N22"/>
    <mergeCell ref="A1:N1"/>
  </mergeCells>
  <conditionalFormatting sqref="B27">
    <cfRule type="cellIs" dxfId="5" priority="2" operator="greaterThan">
      <formula>0</formula>
    </cfRule>
    <cfRule type="cellIs" dxfId="4" priority="3" operator="lessThanOrEqual">
      <formula>0</formula>
    </cfRule>
  </conditionalFormatting>
  <conditionalFormatting sqref="M5:M20">
    <cfRule type="colorScale" priority="1">
      <colorScale>
        <cfvo type="min"/>
        <cfvo type="num" val="1"/>
        <cfvo type="max"/>
        <color rgb="FFF8CBAD"/>
        <color rgb="FFFFE699"/>
        <color rgb="FFC6E0B4"/>
      </colorScale>
    </cfRule>
  </conditionalFormatting>
  <pageMargins left="0.75" right="0.75" top="1" bottom="1" header="0.5" footer="0.5"/>
  <legacy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3"/>
  <sheetViews>
    <sheetView showGridLines="0" workbookViewId="0">
      <selection activeCell="B16" sqref="B16"/>
    </sheetView>
  </sheetViews>
  <sheetFormatPr defaultRowHeight="15" x14ac:dyDescent="0.25"/>
  <cols>
    <col min="1" max="1" width="34" style="40" customWidth="1"/>
    <col min="2" max="2" width="16" style="40" customWidth="1"/>
    <col min="3" max="3" width="4" style="40" customWidth="1"/>
    <col min="4" max="4" width="34" style="40" customWidth="1"/>
    <col min="5" max="5" width="16" style="40" customWidth="1"/>
  </cols>
  <sheetData>
    <row r="1" spans="1:5" ht="33.950000000000003" customHeight="1" x14ac:dyDescent="0.25">
      <c r="A1" s="45" t="s">
        <v>186</v>
      </c>
      <c r="B1" s="43"/>
      <c r="C1" s="43"/>
      <c r="D1" s="43"/>
      <c r="E1" s="43"/>
    </row>
    <row r="2" spans="1:5" ht="18" customHeight="1" x14ac:dyDescent="0.25">
      <c r="A2" s="46" t="s">
        <v>187</v>
      </c>
      <c r="B2" s="43"/>
      <c r="C2" s="43"/>
      <c r="D2" s="43"/>
      <c r="E2" s="43"/>
    </row>
    <row r="4" spans="1:5" ht="21.95" customHeight="1" x14ac:dyDescent="0.25">
      <c r="A4" s="44" t="s">
        <v>188</v>
      </c>
      <c r="B4" s="43"/>
      <c r="C4" s="43"/>
      <c r="D4" s="43"/>
      <c r="E4" s="43"/>
    </row>
    <row r="5" spans="1:5" x14ac:dyDescent="0.25">
      <c r="A5" s="6" t="s">
        <v>105</v>
      </c>
      <c r="B5" s="20">
        <f>'WBS e Stima Costi'!$B$31</f>
        <v>55933.872499999998</v>
      </c>
    </row>
    <row r="6" spans="1:5" x14ac:dyDescent="0.25">
      <c r="A6" s="6" t="s">
        <v>189</v>
      </c>
      <c r="B6" s="20">
        <f>IFERROR(LOOKUP(2,1/('Monitoraggio EVM'!$A$4:$A$33&lt;&gt;""),'Monitoraggio EVM'!$D$4:$D$33),"")</f>
        <v>0</v>
      </c>
    </row>
    <row r="7" spans="1:5" x14ac:dyDescent="0.25">
      <c r="A7" s="6" t="s">
        <v>190</v>
      </c>
      <c r="B7" s="20">
        <f>IFERROR(LOOKUP(2,1/('Monitoraggio EVM'!$A$4:$A$33&lt;&gt;""),'Monitoraggio EVM'!$F$4:$F$33),"")</f>
        <v>0</v>
      </c>
    </row>
    <row r="8" spans="1:5" x14ac:dyDescent="0.25">
      <c r="A8" s="6" t="s">
        <v>191</v>
      </c>
      <c r="B8" s="20">
        <f>IFERROR(LOOKUP(2,1/('Monitoraggio EVM'!$A$4:$A$33&lt;&gt;""),'Monitoraggio EVM'!$G$4:$G$33),"")</f>
        <v>2000</v>
      </c>
    </row>
    <row r="9" spans="1:5" x14ac:dyDescent="0.25">
      <c r="A9" s="6" t="s">
        <v>192</v>
      </c>
      <c r="B9" s="28">
        <f>IFERROR(LOOKUP(2,1/('Monitoraggio EVM'!$A$4:$A$33&lt;&gt;""),'Monitoraggio EVM'!$J$4:$J$33),"")</f>
        <v>0</v>
      </c>
    </row>
    <row r="10" spans="1:5" x14ac:dyDescent="0.25">
      <c r="A10" s="6" t="s">
        <v>193</v>
      </c>
      <c r="B10" s="28" t="str">
        <f>IFERROR(LOOKUP(2,1/('Monitoraggio EVM'!$A$4:$A$33&lt;&gt;""),'Monitoraggio EVM'!$K$4:$K$33),"")</f>
        <v/>
      </c>
    </row>
    <row r="11" spans="1:5" x14ac:dyDescent="0.25">
      <c r="A11" s="6" t="s">
        <v>194</v>
      </c>
      <c r="B11" s="26" t="str">
        <f>IFERROR(LOOKUP(2,1/('Monitoraggio EVM'!$A$4:$A$33&lt;&gt;""),'Monitoraggio EVM'!$L$4:$L$33),"")</f>
        <v/>
      </c>
    </row>
    <row r="12" spans="1:5" x14ac:dyDescent="0.25">
      <c r="A12" s="6" t="s">
        <v>195</v>
      </c>
      <c r="B12" s="20" t="str">
        <f>IFERROR(LOOKUP(2,1/('Monitoraggio EVM'!$A$4:$A$33&lt;&gt;""),'Monitoraggio EVM'!$N$4:$N$33),"")</f>
        <v/>
      </c>
    </row>
    <row r="13" spans="1:5" x14ac:dyDescent="0.25">
      <c r="A13" s="6" t="s">
        <v>196</v>
      </c>
      <c r="B13" s="20" t="str">
        <f>IFERROR(LOOKUP(2,1/('Monitoraggio EVM'!$A$4:$A$33&lt;&gt;""),'Monitoraggio EVM'!$Q$4:$Q$33),"")</f>
        <v/>
      </c>
    </row>
    <row r="14" spans="1:5" x14ac:dyDescent="0.25">
      <c r="A14" s="6" t="s">
        <v>197</v>
      </c>
      <c r="B14" s="28">
        <f>IFERROR(LOOKUP(2,1/('Monitoraggio EVM'!$A$4:$A$33&lt;&gt;""),'Monitoraggio EVM'!$R$4:$R$33),"")</f>
        <v>1.0370824475843079</v>
      </c>
    </row>
    <row r="15" spans="1:5" x14ac:dyDescent="0.25">
      <c r="A15" s="6" t="s">
        <v>198</v>
      </c>
      <c r="B15" s="22">
        <f>IFERROR(LOOKUP(2,1/('Monitoraggio EVM'!$A$4:$A$33&lt;&gt;""),'Monitoraggio EVM'!$E$4:$E$33),"")</f>
        <v>0</v>
      </c>
    </row>
    <row r="16" spans="1:5" x14ac:dyDescent="0.25">
      <c r="A16" s="6" t="s">
        <v>199</v>
      </c>
      <c r="B16" s="22">
        <f>IFERROR(LOOKUP(2,1/('Monitoraggio EVM'!$A$4:$A$33&lt;&gt;""),'Monitoraggio EVM'!$V$4:$V$33),"")</f>
        <v>-3.0672268907563027</v>
      </c>
    </row>
    <row r="18" spans="1:5" ht="21.95" customHeight="1" x14ac:dyDescent="0.25">
      <c r="A18" s="44" t="s">
        <v>200</v>
      </c>
      <c r="B18" s="43"/>
      <c r="C18" s="43"/>
      <c r="D18" s="43"/>
      <c r="E18" s="43"/>
    </row>
    <row r="19" spans="1:5" x14ac:dyDescent="0.25">
      <c r="A19" s="6" t="s">
        <v>201</v>
      </c>
      <c r="B19" s="20">
        <f>B7+IFERROR(LOOKUP(2,1/('Agile - Velocity'!$A$5:$A$20&lt;&gt;""),'Agile - Velocity'!$K$5:$K$20),0)</f>
        <v>36000</v>
      </c>
    </row>
    <row r="20" spans="1:5" x14ac:dyDescent="0.25">
      <c r="A20" s="6" t="s">
        <v>202</v>
      </c>
      <c r="B20" s="20">
        <f>B8+IFERROR(LOOKUP(2,1/('Agile - Velocity'!$A$5:$A$20&lt;&gt;""),'Agile - Velocity'!$L$5:$L$20),0)</f>
        <v>38000</v>
      </c>
    </row>
    <row r="21" spans="1:5" x14ac:dyDescent="0.25">
      <c r="A21" s="6" t="s">
        <v>203</v>
      </c>
      <c r="B21" s="28">
        <f>IFERROR(B19/B20,"")</f>
        <v>0.94736842105263153</v>
      </c>
    </row>
    <row r="23" spans="1:5" ht="21.95" customHeight="1" x14ac:dyDescent="0.25">
      <c r="A23" s="44" t="s">
        <v>204</v>
      </c>
      <c r="B23" s="43"/>
      <c r="C23" s="43"/>
      <c r="D23" s="43"/>
      <c r="E23" s="43"/>
    </row>
  </sheetData>
  <mergeCells count="5">
    <mergeCell ref="A4:E4"/>
    <mergeCell ref="A2:E2"/>
    <mergeCell ref="A1:E1"/>
    <mergeCell ref="A23:E23"/>
    <mergeCell ref="A18:E18"/>
  </mergeCells>
  <conditionalFormatting sqref="B11">
    <cfRule type="expression" dxfId="3" priority="7">
      <formula>B11="Sano"</formula>
    </cfRule>
    <cfRule type="expression" dxfId="2" priority="8">
      <formula>B11="Attenzione"</formula>
    </cfRule>
    <cfRule type="expression" dxfId="1" priority="9">
      <formula>B11="Critico"</formula>
    </cfRule>
  </conditionalFormatting>
  <conditionalFormatting sqref="B13">
    <cfRule type="cellIs" dxfId="0" priority="10" operator="lessThan">
      <formula>0</formula>
    </cfRule>
  </conditionalFormatting>
  <pageMargins left="0.75" right="0.75" top="1" bottom="1" header="0.5" footer="0.5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3"/>
  <sheetViews>
    <sheetView showGridLines="0" workbookViewId="0">
      <selection sqref="A1:C1"/>
    </sheetView>
  </sheetViews>
  <sheetFormatPr defaultRowHeight="15" x14ac:dyDescent="0.25"/>
  <cols>
    <col min="1" max="1" width="14" style="40" customWidth="1"/>
    <col min="2" max="2" width="62" style="40" customWidth="1"/>
    <col min="3" max="3" width="14" style="40" customWidth="1"/>
  </cols>
  <sheetData>
    <row r="1" spans="1:3" ht="33.950000000000003" customHeight="1" x14ac:dyDescent="0.25">
      <c r="A1" s="45" t="s">
        <v>205</v>
      </c>
      <c r="B1" s="43"/>
      <c r="C1" s="43"/>
    </row>
    <row r="2" spans="1:3" ht="18" customHeight="1" x14ac:dyDescent="0.25">
      <c r="A2" s="46" t="s">
        <v>206</v>
      </c>
      <c r="B2" s="43"/>
      <c r="C2" s="43"/>
    </row>
    <row r="3" spans="1:3" x14ac:dyDescent="0.25">
      <c r="A3" s="36" t="s">
        <v>207</v>
      </c>
      <c r="B3" s="36" t="s">
        <v>208</v>
      </c>
      <c r="C3" s="36" t="s">
        <v>209</v>
      </c>
    </row>
    <row r="4" spans="1:3" ht="26.1" customHeight="1" x14ac:dyDescent="0.25">
      <c r="A4" s="1" t="s">
        <v>210</v>
      </c>
      <c r="B4" s="39" t="s">
        <v>211</v>
      </c>
      <c r="C4" s="39" t="s">
        <v>212</v>
      </c>
    </row>
    <row r="5" spans="1:3" ht="26.1" customHeight="1" x14ac:dyDescent="0.25">
      <c r="A5" s="1" t="s">
        <v>73</v>
      </c>
      <c r="B5" s="39" t="s">
        <v>213</v>
      </c>
      <c r="C5" s="39" t="s">
        <v>212</v>
      </c>
    </row>
    <row r="6" spans="1:3" ht="26.1" customHeight="1" x14ac:dyDescent="0.25">
      <c r="A6" s="1" t="s">
        <v>214</v>
      </c>
      <c r="B6" s="39" t="s">
        <v>215</v>
      </c>
      <c r="C6" s="39" t="s">
        <v>212</v>
      </c>
    </row>
    <row r="7" spans="1:3" ht="26.1" customHeight="1" x14ac:dyDescent="0.25">
      <c r="A7" s="1" t="s">
        <v>216</v>
      </c>
      <c r="B7" s="39" t="s">
        <v>217</v>
      </c>
      <c r="C7" s="39" t="s">
        <v>218</v>
      </c>
    </row>
    <row r="8" spans="1:3" ht="26.1" customHeight="1" x14ac:dyDescent="0.25">
      <c r="A8" s="1" t="s">
        <v>219</v>
      </c>
      <c r="B8" s="39" t="s">
        <v>220</v>
      </c>
      <c r="C8" s="39" t="s">
        <v>221</v>
      </c>
    </row>
    <row r="9" spans="1:3" ht="26.1" customHeight="1" x14ac:dyDescent="0.25">
      <c r="A9" s="1" t="s">
        <v>41</v>
      </c>
      <c r="B9" s="39" t="s">
        <v>222</v>
      </c>
      <c r="C9" s="39" t="s">
        <v>223</v>
      </c>
    </row>
    <row r="10" spans="1:3" ht="26.1" customHeight="1" x14ac:dyDescent="0.25">
      <c r="A10" s="1" t="s">
        <v>114</v>
      </c>
      <c r="B10" s="39" t="s">
        <v>224</v>
      </c>
      <c r="C10" s="39" t="s">
        <v>225</v>
      </c>
    </row>
    <row r="11" spans="1:3" ht="26.1" customHeight="1" x14ac:dyDescent="0.25">
      <c r="A11" s="1" t="s">
        <v>117</v>
      </c>
      <c r="B11" s="39" t="s">
        <v>226</v>
      </c>
      <c r="C11" s="39" t="s">
        <v>225</v>
      </c>
    </row>
    <row r="12" spans="1:3" ht="26.1" customHeight="1" x14ac:dyDescent="0.25">
      <c r="A12" s="1" t="s">
        <v>116</v>
      </c>
      <c r="B12" s="39" t="s">
        <v>227</v>
      </c>
      <c r="C12" s="39" t="s">
        <v>225</v>
      </c>
    </row>
    <row r="13" spans="1:3" ht="26.1" customHeight="1" x14ac:dyDescent="0.25">
      <c r="A13" s="1" t="s">
        <v>118</v>
      </c>
      <c r="B13" s="39" t="s">
        <v>228</v>
      </c>
      <c r="C13" s="39" t="s">
        <v>229</v>
      </c>
    </row>
    <row r="14" spans="1:3" ht="26.1" customHeight="1" x14ac:dyDescent="0.25">
      <c r="A14" s="1" t="s">
        <v>119</v>
      </c>
      <c r="B14" s="39" t="s">
        <v>230</v>
      </c>
      <c r="C14" s="39" t="s">
        <v>229</v>
      </c>
    </row>
    <row r="15" spans="1:3" ht="26.1" customHeight="1" x14ac:dyDescent="0.25">
      <c r="A15" s="1" t="s">
        <v>120</v>
      </c>
      <c r="B15" s="39" t="s">
        <v>231</v>
      </c>
      <c r="C15" s="39" t="s">
        <v>232</v>
      </c>
    </row>
    <row r="16" spans="1:3" ht="26.1" customHeight="1" x14ac:dyDescent="0.25">
      <c r="A16" s="1" t="s">
        <v>121</v>
      </c>
      <c r="B16" s="39" t="s">
        <v>233</v>
      </c>
      <c r="C16" s="39" t="s">
        <v>232</v>
      </c>
    </row>
    <row r="17" spans="1:3" ht="26.1" customHeight="1" x14ac:dyDescent="0.25">
      <c r="A17" s="1" t="s">
        <v>123</v>
      </c>
      <c r="B17" s="39" t="s">
        <v>234</v>
      </c>
      <c r="C17" s="39" t="s">
        <v>229</v>
      </c>
    </row>
    <row r="18" spans="1:3" ht="26.1" customHeight="1" x14ac:dyDescent="0.25">
      <c r="A18" s="1" t="s">
        <v>124</v>
      </c>
      <c r="B18" s="39" t="s">
        <v>235</v>
      </c>
      <c r="C18" s="39" t="s">
        <v>229</v>
      </c>
    </row>
    <row r="19" spans="1:3" ht="26.1" customHeight="1" x14ac:dyDescent="0.25">
      <c r="A19" s="1" t="s">
        <v>127</v>
      </c>
      <c r="B19" s="39" t="s">
        <v>236</v>
      </c>
      <c r="C19" s="39" t="s">
        <v>229</v>
      </c>
    </row>
    <row r="20" spans="1:3" ht="26.1" customHeight="1" x14ac:dyDescent="0.25">
      <c r="A20" s="1" t="s">
        <v>128</v>
      </c>
      <c r="B20" s="39" t="s">
        <v>237</v>
      </c>
      <c r="C20" s="39" t="s">
        <v>238</v>
      </c>
    </row>
    <row r="21" spans="1:3" ht="26.1" customHeight="1" x14ac:dyDescent="0.25">
      <c r="A21" s="1" t="s">
        <v>239</v>
      </c>
      <c r="B21" s="39" t="s">
        <v>240</v>
      </c>
      <c r="C21" s="39" t="s">
        <v>232</v>
      </c>
    </row>
    <row r="22" spans="1:3" ht="26.1" customHeight="1" x14ac:dyDescent="0.25">
      <c r="A22" s="1" t="s">
        <v>241</v>
      </c>
      <c r="B22" s="39" t="s">
        <v>242</v>
      </c>
      <c r="C22" s="39" t="s">
        <v>232</v>
      </c>
    </row>
    <row r="23" spans="1:3" ht="26.1" customHeight="1" x14ac:dyDescent="0.25">
      <c r="A23" s="1" t="s">
        <v>243</v>
      </c>
      <c r="B23" s="39" t="s">
        <v>244</v>
      </c>
      <c r="C23" s="39" t="s">
        <v>245</v>
      </c>
    </row>
    <row r="24" spans="1:3" ht="26.1" customHeight="1" x14ac:dyDescent="0.25">
      <c r="A24" s="1" t="s">
        <v>246</v>
      </c>
      <c r="B24" s="39" t="s">
        <v>247</v>
      </c>
      <c r="C24" s="39" t="s">
        <v>248</v>
      </c>
    </row>
    <row r="25" spans="1:3" ht="26.1" customHeight="1" x14ac:dyDescent="0.25">
      <c r="A25" s="1" t="s">
        <v>165</v>
      </c>
      <c r="B25" s="39" t="s">
        <v>249</v>
      </c>
      <c r="C25" s="39" t="s">
        <v>248</v>
      </c>
    </row>
    <row r="26" spans="1:3" ht="26.1" customHeight="1" x14ac:dyDescent="0.25">
      <c r="A26" s="1" t="s">
        <v>250</v>
      </c>
      <c r="B26" s="39" t="s">
        <v>251</v>
      </c>
      <c r="C26" s="39" t="s">
        <v>248</v>
      </c>
    </row>
    <row r="27" spans="1:3" ht="26.1" customHeight="1" x14ac:dyDescent="0.25">
      <c r="A27" s="1" t="s">
        <v>252</v>
      </c>
      <c r="B27" s="39" t="s">
        <v>253</v>
      </c>
      <c r="C27" s="39" t="s">
        <v>254</v>
      </c>
    </row>
    <row r="28" spans="1:3" ht="26.1" customHeight="1" x14ac:dyDescent="0.25">
      <c r="A28" s="1" t="s">
        <v>255</v>
      </c>
      <c r="B28" s="39" t="s">
        <v>256</v>
      </c>
      <c r="C28" s="39" t="s">
        <v>254</v>
      </c>
    </row>
    <row r="29" spans="1:3" ht="26.1" customHeight="1" x14ac:dyDescent="0.25">
      <c r="A29" s="1" t="s">
        <v>257</v>
      </c>
      <c r="B29" s="39" t="s">
        <v>258</v>
      </c>
      <c r="C29" s="39" t="s">
        <v>259</v>
      </c>
    </row>
    <row r="30" spans="1:3" ht="26.1" customHeight="1" x14ac:dyDescent="0.25">
      <c r="A30" s="1" t="s">
        <v>260</v>
      </c>
      <c r="B30" s="39" t="s">
        <v>261</v>
      </c>
      <c r="C30" s="39" t="s">
        <v>259</v>
      </c>
    </row>
    <row r="31" spans="1:3" ht="26.1" customHeight="1" x14ac:dyDescent="0.25">
      <c r="A31" s="1" t="s">
        <v>262</v>
      </c>
      <c r="B31" s="39" t="s">
        <v>263</v>
      </c>
      <c r="C31" s="39" t="s">
        <v>259</v>
      </c>
    </row>
    <row r="32" spans="1:3" ht="26.1" customHeight="1" x14ac:dyDescent="0.25">
      <c r="A32" s="1" t="s">
        <v>264</v>
      </c>
      <c r="B32" s="39" t="s">
        <v>265</v>
      </c>
      <c r="C32" s="39" t="s">
        <v>266</v>
      </c>
    </row>
    <row r="33" spans="1:3" ht="26.1" customHeight="1" x14ac:dyDescent="0.25">
      <c r="A33" s="1" t="s">
        <v>267</v>
      </c>
      <c r="B33" s="39" t="s">
        <v>268</v>
      </c>
      <c r="C33" s="39" t="s">
        <v>266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Guida</vt:lpstr>
      <vt:lpstr>Parametri</vt:lpstr>
      <vt:lpstr>WBS e Stima Costi</vt:lpstr>
      <vt:lpstr>Monitoraggio EVM</vt:lpstr>
      <vt:lpstr>Buffer e Contingency</vt:lpstr>
      <vt:lpstr>Agile - Velocity</vt:lpstr>
      <vt:lpstr>Dashboard</vt:lpstr>
      <vt:lpstr>Glossario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Rocco Pietroni</cp:lastModifiedBy>
  <dcterms:created xsi:type="dcterms:W3CDTF">2026-09-13T14:09:24Z</dcterms:created>
  <dcterms:modified xsi:type="dcterms:W3CDTF">2026-10-07T10:04:18Z</dcterms:modified>
</cp:coreProperties>
</file>