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fo\Documents\Progetti\ImpresaNumerica\Excel\"/>
    </mc:Choice>
  </mc:AlternateContent>
  <xr:revisionPtr revIDLastSave="0" documentId="13_ncr:20001_{75EB1514-C2B3-430B-9C9A-F98C1AAF4BD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uida" sheetId="1" r:id="rId1"/>
    <sheet name="Parametri" sheetId="2" r:id="rId2"/>
    <sheet name="Persone" sheetId="3" r:id="rId3"/>
    <sheet name="Turnover" sheetId="4" r:id="rId4"/>
    <sheet name="Valutazione Persona" sheetId="5" r:id="rId5"/>
    <sheet name="KPI Dashboard" sheetId="6" r:id="rId6"/>
    <sheet name="Glossario" sheetId="7" r:id="rId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6" l="1"/>
  <c r="B15" i="6"/>
  <c r="B14" i="6"/>
  <c r="B9" i="6"/>
  <c r="B5" i="6"/>
  <c r="B23" i="5"/>
  <c r="B21" i="5"/>
  <c r="B16" i="5"/>
  <c r="B9" i="5"/>
  <c r="B8" i="5"/>
  <c r="B7" i="5"/>
  <c r="N13" i="4"/>
  <c r="M13" i="4"/>
  <c r="L13" i="4"/>
  <c r="J13" i="4"/>
  <c r="K13" i="4" s="1"/>
  <c r="G13" i="4"/>
  <c r="C13" i="4"/>
  <c r="B13" i="4"/>
  <c r="N12" i="4"/>
  <c r="M12" i="4"/>
  <c r="L12" i="4"/>
  <c r="J12" i="4"/>
  <c r="K12" i="4" s="1"/>
  <c r="G12" i="4"/>
  <c r="C12" i="4"/>
  <c r="B12" i="4"/>
  <c r="N11" i="4"/>
  <c r="M11" i="4"/>
  <c r="L11" i="4"/>
  <c r="O11" i="4" s="1"/>
  <c r="J11" i="4"/>
  <c r="K11" i="4" s="1"/>
  <c r="G11" i="4"/>
  <c r="C11" i="4"/>
  <c r="B11" i="4"/>
  <c r="N10" i="4"/>
  <c r="M10" i="4"/>
  <c r="L10" i="4"/>
  <c r="K10" i="4"/>
  <c r="J10" i="4"/>
  <c r="G10" i="4"/>
  <c r="C10" i="4"/>
  <c r="B10" i="4"/>
  <c r="N9" i="4"/>
  <c r="M9" i="4"/>
  <c r="L9" i="4"/>
  <c r="K9" i="4"/>
  <c r="J9" i="4"/>
  <c r="G9" i="4"/>
  <c r="C9" i="4"/>
  <c r="B9" i="4"/>
  <c r="N8" i="4"/>
  <c r="M8" i="4"/>
  <c r="L8" i="4"/>
  <c r="K8" i="4"/>
  <c r="J8" i="4"/>
  <c r="G8" i="4"/>
  <c r="C8" i="4"/>
  <c r="B8" i="4"/>
  <c r="N7" i="4"/>
  <c r="M7" i="4"/>
  <c r="L7" i="4"/>
  <c r="J7" i="4"/>
  <c r="K7" i="4" s="1"/>
  <c r="G7" i="4"/>
  <c r="C7" i="4"/>
  <c r="B7" i="4"/>
  <c r="N6" i="4"/>
  <c r="M6" i="4"/>
  <c r="L6" i="4"/>
  <c r="J6" i="4"/>
  <c r="K6" i="4" s="1"/>
  <c r="G6" i="4"/>
  <c r="C6" i="4"/>
  <c r="B6" i="4"/>
  <c r="K5" i="4"/>
  <c r="J5" i="4"/>
  <c r="G5" i="4"/>
  <c r="B5" i="4"/>
  <c r="J4" i="4"/>
  <c r="K4" i="4" s="1"/>
  <c r="G4" i="4"/>
  <c r="C4" i="4"/>
  <c r="B4" i="4"/>
  <c r="AN23" i="3"/>
  <c r="AM23" i="3"/>
  <c r="AL23" i="3"/>
  <c r="AK23" i="3"/>
  <c r="AJ23" i="3"/>
  <c r="AH23" i="3"/>
  <c r="AF23" i="3"/>
  <c r="AD23" i="3"/>
  <c r="AA23" i="3"/>
  <c r="Y23" i="3"/>
  <c r="X23" i="3"/>
  <c r="W23" i="3"/>
  <c r="V23" i="3"/>
  <c r="T23" i="3"/>
  <c r="S23" i="3"/>
  <c r="R23" i="3"/>
  <c r="Q23" i="3"/>
  <c r="P23" i="3"/>
  <c r="O23" i="3"/>
  <c r="H23" i="3"/>
  <c r="AN22" i="3"/>
  <c r="AM22" i="3"/>
  <c r="AL22" i="3"/>
  <c r="AK22" i="3"/>
  <c r="AJ22" i="3"/>
  <c r="AH22" i="3"/>
  <c r="AF22" i="3"/>
  <c r="AD22" i="3"/>
  <c r="AA22" i="3"/>
  <c r="Y22" i="3"/>
  <c r="X22" i="3"/>
  <c r="W22" i="3"/>
  <c r="V22" i="3"/>
  <c r="T22" i="3"/>
  <c r="S22" i="3"/>
  <c r="R22" i="3"/>
  <c r="Q22" i="3"/>
  <c r="P22" i="3"/>
  <c r="O22" i="3"/>
  <c r="H22" i="3"/>
  <c r="AN21" i="3"/>
  <c r="AM21" i="3"/>
  <c r="AL21" i="3"/>
  <c r="AK21" i="3"/>
  <c r="AJ21" i="3"/>
  <c r="AH21" i="3"/>
  <c r="AF21" i="3"/>
  <c r="AD21" i="3"/>
  <c r="AA21" i="3"/>
  <c r="Y21" i="3"/>
  <c r="X21" i="3"/>
  <c r="W21" i="3"/>
  <c r="V21" i="3"/>
  <c r="T21" i="3"/>
  <c r="S21" i="3"/>
  <c r="R21" i="3"/>
  <c r="Q21" i="3"/>
  <c r="P21" i="3"/>
  <c r="O21" i="3"/>
  <c r="H21" i="3"/>
  <c r="AN20" i="3"/>
  <c r="AM20" i="3"/>
  <c r="AL20" i="3"/>
  <c r="AK20" i="3"/>
  <c r="AJ20" i="3"/>
  <c r="AH20" i="3"/>
  <c r="AF20" i="3"/>
  <c r="AD20" i="3"/>
  <c r="AA20" i="3"/>
  <c r="Y20" i="3"/>
  <c r="X20" i="3"/>
  <c r="W20" i="3"/>
  <c r="V20" i="3"/>
  <c r="T20" i="3"/>
  <c r="S20" i="3"/>
  <c r="R20" i="3"/>
  <c r="Q20" i="3"/>
  <c r="P20" i="3"/>
  <c r="O20" i="3"/>
  <c r="H20" i="3"/>
  <c r="AN19" i="3"/>
  <c r="AM19" i="3"/>
  <c r="AL19" i="3"/>
  <c r="AK19" i="3"/>
  <c r="AJ19" i="3"/>
  <c r="AH19" i="3"/>
  <c r="AF19" i="3"/>
  <c r="AD19" i="3"/>
  <c r="AA19" i="3"/>
  <c r="Y19" i="3"/>
  <c r="X19" i="3"/>
  <c r="W19" i="3"/>
  <c r="V19" i="3"/>
  <c r="T19" i="3"/>
  <c r="S19" i="3"/>
  <c r="R19" i="3"/>
  <c r="Q19" i="3"/>
  <c r="P19" i="3"/>
  <c r="O19" i="3"/>
  <c r="H19" i="3"/>
  <c r="AN18" i="3"/>
  <c r="AM18" i="3"/>
  <c r="AL18" i="3"/>
  <c r="AK18" i="3"/>
  <c r="AJ18" i="3"/>
  <c r="AH18" i="3"/>
  <c r="AF18" i="3"/>
  <c r="AD18" i="3"/>
  <c r="AA18" i="3"/>
  <c r="Y18" i="3"/>
  <c r="X18" i="3"/>
  <c r="W18" i="3"/>
  <c r="V18" i="3"/>
  <c r="T18" i="3"/>
  <c r="S18" i="3"/>
  <c r="R18" i="3"/>
  <c r="Q18" i="3"/>
  <c r="P18" i="3"/>
  <c r="O18" i="3"/>
  <c r="H18" i="3"/>
  <c r="AN17" i="3"/>
  <c r="AM17" i="3"/>
  <c r="AL17" i="3"/>
  <c r="AK17" i="3"/>
  <c r="AJ17" i="3"/>
  <c r="AH17" i="3"/>
  <c r="AF17" i="3"/>
  <c r="AD17" i="3"/>
  <c r="AA17" i="3"/>
  <c r="Y17" i="3"/>
  <c r="X17" i="3"/>
  <c r="W17" i="3"/>
  <c r="V17" i="3"/>
  <c r="T17" i="3"/>
  <c r="S17" i="3"/>
  <c r="R17" i="3"/>
  <c r="Q17" i="3"/>
  <c r="P17" i="3"/>
  <c r="O17" i="3"/>
  <c r="H17" i="3"/>
  <c r="AN16" i="3"/>
  <c r="AM16" i="3"/>
  <c r="AL16" i="3"/>
  <c r="AK16" i="3"/>
  <c r="AJ16" i="3"/>
  <c r="AH16" i="3"/>
  <c r="AF16" i="3"/>
  <c r="AD16" i="3"/>
  <c r="AA16" i="3"/>
  <c r="Y16" i="3"/>
  <c r="X16" i="3"/>
  <c r="W16" i="3"/>
  <c r="V16" i="3"/>
  <c r="T16" i="3"/>
  <c r="S16" i="3"/>
  <c r="R16" i="3"/>
  <c r="Q16" i="3"/>
  <c r="P16" i="3"/>
  <c r="O16" i="3"/>
  <c r="H16" i="3"/>
  <c r="AN15" i="3"/>
  <c r="AM15" i="3"/>
  <c r="AL15" i="3"/>
  <c r="AK15" i="3"/>
  <c r="AJ15" i="3"/>
  <c r="AH15" i="3"/>
  <c r="AF15" i="3"/>
  <c r="AD15" i="3"/>
  <c r="AA15" i="3"/>
  <c r="Y15" i="3"/>
  <c r="X15" i="3"/>
  <c r="W15" i="3"/>
  <c r="V15" i="3"/>
  <c r="T15" i="3"/>
  <c r="S15" i="3"/>
  <c r="R15" i="3"/>
  <c r="Q15" i="3"/>
  <c r="P15" i="3"/>
  <c r="O15" i="3"/>
  <c r="H15" i="3"/>
  <c r="AN14" i="3"/>
  <c r="AM14" i="3"/>
  <c r="AL14" i="3"/>
  <c r="AK14" i="3"/>
  <c r="AJ14" i="3"/>
  <c r="AH14" i="3"/>
  <c r="AF14" i="3"/>
  <c r="AD14" i="3"/>
  <c r="AA14" i="3"/>
  <c r="Y14" i="3"/>
  <c r="X14" i="3"/>
  <c r="W14" i="3"/>
  <c r="V14" i="3"/>
  <c r="T14" i="3"/>
  <c r="S14" i="3"/>
  <c r="R14" i="3"/>
  <c r="Q14" i="3"/>
  <c r="P14" i="3"/>
  <c r="O14" i="3"/>
  <c r="H14" i="3"/>
  <c r="AN13" i="3"/>
  <c r="AM13" i="3"/>
  <c r="AL13" i="3"/>
  <c r="AK13" i="3"/>
  <c r="AJ13" i="3"/>
  <c r="AH13" i="3"/>
  <c r="AF13" i="3"/>
  <c r="AD13" i="3"/>
  <c r="AA13" i="3"/>
  <c r="Y13" i="3"/>
  <c r="X13" i="3"/>
  <c r="W13" i="3"/>
  <c r="V13" i="3"/>
  <c r="T13" i="3"/>
  <c r="S13" i="3"/>
  <c r="R13" i="3"/>
  <c r="Q13" i="3"/>
  <c r="P13" i="3"/>
  <c r="O13" i="3"/>
  <c r="H13" i="3"/>
  <c r="AN12" i="3"/>
  <c r="AM12" i="3"/>
  <c r="AL12" i="3"/>
  <c r="AK12" i="3"/>
  <c r="AJ12" i="3"/>
  <c r="AH12" i="3"/>
  <c r="AF12" i="3"/>
  <c r="AD12" i="3"/>
  <c r="AA12" i="3"/>
  <c r="Y12" i="3"/>
  <c r="X12" i="3"/>
  <c r="W12" i="3"/>
  <c r="V12" i="3"/>
  <c r="T12" i="3"/>
  <c r="S12" i="3"/>
  <c r="R12" i="3"/>
  <c r="Q12" i="3"/>
  <c r="P12" i="3"/>
  <c r="O12" i="3"/>
  <c r="H12" i="3"/>
  <c r="AH11" i="3"/>
  <c r="AF11" i="3"/>
  <c r="AD11" i="3"/>
  <c r="AA11" i="3"/>
  <c r="X11" i="3"/>
  <c r="O11" i="3"/>
  <c r="P11" i="3" s="1"/>
  <c r="H11" i="3"/>
  <c r="AH10" i="3"/>
  <c r="AN10" i="3" s="1"/>
  <c r="AF10" i="3"/>
  <c r="AD10" i="3"/>
  <c r="AA10" i="3"/>
  <c r="X10" i="3"/>
  <c r="O10" i="3"/>
  <c r="P10" i="3" s="1"/>
  <c r="H10" i="3"/>
  <c r="AH9" i="3"/>
  <c r="M4" i="4" s="1"/>
  <c r="AF9" i="3"/>
  <c r="N4" i="4" s="1"/>
  <c r="AD9" i="3"/>
  <c r="AA9" i="3"/>
  <c r="X9" i="3"/>
  <c r="O9" i="3"/>
  <c r="P9" i="3" s="1"/>
  <c r="H9" i="3"/>
  <c r="AN8" i="3"/>
  <c r="AH8" i="3"/>
  <c r="AF8" i="3"/>
  <c r="AD8" i="3"/>
  <c r="AA8" i="3"/>
  <c r="X8" i="3"/>
  <c r="O8" i="3"/>
  <c r="P8" i="3" s="1"/>
  <c r="H8" i="3"/>
  <c r="AH7" i="3"/>
  <c r="M5" i="4" s="1"/>
  <c r="AF7" i="3"/>
  <c r="N5" i="4" s="1"/>
  <c r="AD7" i="3"/>
  <c r="L5" i="4" s="1"/>
  <c r="AA7" i="3"/>
  <c r="B22" i="5" s="1"/>
  <c r="X7" i="3"/>
  <c r="O7" i="3"/>
  <c r="P7" i="3" s="1"/>
  <c r="H7" i="3"/>
  <c r="AN6" i="3"/>
  <c r="AH6" i="3"/>
  <c r="AF6" i="3"/>
  <c r="AD6" i="3"/>
  <c r="AA6" i="3"/>
  <c r="X6" i="3"/>
  <c r="O6" i="3"/>
  <c r="P6" i="3" s="1"/>
  <c r="H6" i="3"/>
  <c r="AH5" i="3"/>
  <c r="AF5" i="3"/>
  <c r="AD5" i="3"/>
  <c r="AN5" i="3" s="1"/>
  <c r="AA5" i="3"/>
  <c r="X5" i="3"/>
  <c r="O5" i="3"/>
  <c r="P5" i="3" s="1"/>
  <c r="H5" i="3"/>
  <c r="AN4" i="3"/>
  <c r="AH4" i="3"/>
  <c r="AF4" i="3"/>
  <c r="AD4" i="3"/>
  <c r="AA4" i="3"/>
  <c r="X4" i="3"/>
  <c r="O4" i="3"/>
  <c r="P4" i="3" s="1"/>
  <c r="H4" i="3"/>
  <c r="O8" i="4" l="1"/>
  <c r="O9" i="4"/>
  <c r="P9" i="4" s="1"/>
  <c r="Q9" i="4" s="1"/>
  <c r="AN11" i="3"/>
  <c r="AN9" i="3"/>
  <c r="AM10" i="3"/>
  <c r="O12" i="4"/>
  <c r="O13" i="4"/>
  <c r="P13" i="4" s="1"/>
  <c r="Q13" i="4" s="1"/>
  <c r="AM8" i="3"/>
  <c r="AK9" i="3"/>
  <c r="AK4" i="3"/>
  <c r="AK10" i="3"/>
  <c r="O6" i="4"/>
  <c r="P6" i="4" s="1"/>
  <c r="Q6" i="4" s="1"/>
  <c r="O10" i="4"/>
  <c r="P10" i="4" s="1"/>
  <c r="Q10" i="4" s="1"/>
  <c r="O7" i="4"/>
  <c r="P7" i="4" s="1"/>
  <c r="Q7" i="4" s="1"/>
  <c r="B10" i="6"/>
  <c r="P8" i="4"/>
  <c r="Q8" i="4" s="1"/>
  <c r="P12" i="4"/>
  <c r="Q12" i="4" s="1"/>
  <c r="AL6" i="3"/>
  <c r="R9" i="3"/>
  <c r="T9" i="3" s="1"/>
  <c r="Q9" i="3"/>
  <c r="S9" i="3" s="1"/>
  <c r="Y9" i="3" s="1"/>
  <c r="AJ9" i="3"/>
  <c r="R11" i="3"/>
  <c r="T11" i="3" s="1"/>
  <c r="Q11" i="3"/>
  <c r="S11" i="3" s="1"/>
  <c r="Y11" i="3" s="1"/>
  <c r="AJ11" i="3"/>
  <c r="AJ10" i="3"/>
  <c r="Q10" i="3"/>
  <c r="AL10" i="3" s="1"/>
  <c r="R10" i="3"/>
  <c r="T10" i="3" s="1"/>
  <c r="AJ6" i="3"/>
  <c r="R6" i="3"/>
  <c r="T6" i="3" s="1"/>
  <c r="Q6" i="3"/>
  <c r="Q7" i="3"/>
  <c r="AJ7" i="3"/>
  <c r="B27" i="5" s="1"/>
  <c r="A35" i="5" s="1"/>
  <c r="R7" i="3"/>
  <c r="T7" i="3" s="1"/>
  <c r="AJ4" i="3"/>
  <c r="Q4" i="3"/>
  <c r="B13" i="2" s="1"/>
  <c r="B14" i="2" s="1"/>
  <c r="R4" i="3"/>
  <c r="T4" i="3" s="1"/>
  <c r="Q5" i="3"/>
  <c r="S5" i="3" s="1"/>
  <c r="Y5" i="3" s="1"/>
  <c r="AJ5" i="3"/>
  <c r="R5" i="3"/>
  <c r="T5" i="3" s="1"/>
  <c r="AL7" i="3"/>
  <c r="AL11" i="3"/>
  <c r="AJ8" i="3"/>
  <c r="Q8" i="3"/>
  <c r="AL8" i="3" s="1"/>
  <c r="R8" i="3"/>
  <c r="T8" i="3" s="1"/>
  <c r="O5" i="4"/>
  <c r="P5" i="4" s="1"/>
  <c r="Q5" i="4" s="1"/>
  <c r="P11" i="4"/>
  <c r="Q11" i="4" s="1"/>
  <c r="AK8" i="3"/>
  <c r="AK11" i="3"/>
  <c r="C5" i="4"/>
  <c r="B25" i="5"/>
  <c r="AL4" i="3"/>
  <c r="AM4" i="3"/>
  <c r="AK5" i="3"/>
  <c r="AL9" i="3"/>
  <c r="S10" i="3"/>
  <c r="Y10" i="3" s="1"/>
  <c r="L4" i="4"/>
  <c r="O4" i="4" s="1"/>
  <c r="P4" i="4" s="1"/>
  <c r="B26" i="5"/>
  <c r="AM6" i="3"/>
  <c r="AK7" i="3"/>
  <c r="B30" i="5" s="1"/>
  <c r="S6" i="3"/>
  <c r="Y6" i="3" s="1"/>
  <c r="S8" i="3"/>
  <c r="Y8" i="3" s="1"/>
  <c r="AM5" i="3"/>
  <c r="AM7" i="3"/>
  <c r="B28" i="5" s="1"/>
  <c r="AM9" i="3"/>
  <c r="AM11" i="3"/>
  <c r="B24" i="5"/>
  <c r="B12" i="2"/>
  <c r="S4" i="3"/>
  <c r="Y4" i="3" s="1"/>
  <c r="AN7" i="3"/>
  <c r="B29" i="5" s="1"/>
  <c r="AK6" i="3"/>
  <c r="B31" i="5" l="1"/>
  <c r="B41" i="5"/>
  <c r="V5" i="3"/>
  <c r="W5" i="3"/>
  <c r="B14" i="5"/>
  <c r="S7" i="3"/>
  <c r="Q4" i="4"/>
  <c r="B11" i="6"/>
  <c r="W8" i="3"/>
  <c r="V8" i="3"/>
  <c r="V4" i="3"/>
  <c r="W4" i="3"/>
  <c r="W11" i="3"/>
  <c r="V11" i="3"/>
  <c r="B8" i="6"/>
  <c r="B7" i="6"/>
  <c r="V7" i="3"/>
  <c r="B17" i="5" s="1"/>
  <c r="W7" i="3"/>
  <c r="B18" i="5" s="1"/>
  <c r="A36" i="5" s="1"/>
  <c r="B15" i="5"/>
  <c r="V6" i="3"/>
  <c r="W6" i="3"/>
  <c r="AL5" i="3"/>
  <c r="V10" i="3"/>
  <c r="W10" i="3"/>
  <c r="V9" i="3"/>
  <c r="W9" i="3"/>
  <c r="B10" i="5" l="1"/>
  <c r="B39" i="5"/>
  <c r="Y7" i="3"/>
  <c r="B6" i="6"/>
  <c r="B11" i="5" l="1"/>
  <c r="A34" i="5" s="1"/>
  <c r="B4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9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Puoi digitare direttamente il valore, oppure copiare qui il risultato del calcolo automatico riportato più sotto.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A3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Nome/identificativo della persona</t>
        </r>
      </text>
    </comment>
    <comment ref="B3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Diretto o Indiretto (§2.1)</t>
        </r>
      </text>
    </comment>
    <comment ref="C3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Retribuzione Annua Lorda</t>
        </r>
      </text>
    </comment>
    <comment ref="D3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Aliquota oneri e contributi a carico azienda (INPS, INAIL, TFR...)</t>
        </r>
      </text>
    </comment>
    <comment ref="E3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Benefit annui (auto, welfare, buoni pasto...)</t>
        </r>
      </text>
    </comment>
    <comment ref="F3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Costo annuo della formazione ricevuta, incluso nel costo pieno Ci</t>
        </r>
      </text>
    </comment>
    <comment ref="G3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Costo annuo delle assenze retribuite non già in ferie/malattia</t>
        </r>
      </text>
    </comment>
    <comment ref="H3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Costo reale annuo = RAL*(1+alpha)+Benefit+Formazione+Assenze</t>
        </r>
      </text>
    </comment>
    <comment ref="I3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Giorni lavorativi annui contrattuali</t>
        </r>
      </text>
    </comment>
    <comment ref="J3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Ore lavorative giornaliere</t>
        </r>
      </text>
    </comment>
    <comment ref="K3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Giorni di ferie annui</t>
        </r>
      </text>
    </comment>
    <comment ref="L3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Ore di permesso annue</t>
        </r>
      </text>
    </comment>
    <comment ref="M3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Ore di malattia annue</t>
        </r>
      </text>
    </comment>
    <comment ref="N3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Ore disponibili ma non produttive (riunioni non produttive, attese...)</t>
        </r>
      </text>
    </comment>
    <comment ref="O3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Ore teoriche = Giorni lavorativi × Ore giornaliere</t>
        </r>
      </text>
    </comment>
    <comment ref="P3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Ore disponibili = Ore teoriche - ferie - permessi - malattia</t>
        </r>
      </text>
    </comment>
    <comment ref="Q3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Ore produttive = Ore disponibili - ore non produttive</t>
        </r>
      </text>
    </comment>
    <comment ref="R3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Ore effettivamente lavorate (default = ore disponibili); modifica se diverso</t>
        </r>
      </text>
    </comment>
    <comment ref="S3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Costo orario reale = Ci / Ore produttive</t>
        </r>
      </text>
    </comment>
    <comment ref="T3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Utilization = Ore lavorate / Ore disponibili</t>
        </r>
      </text>
    </comment>
    <comment ref="U3" authorId="0" shapeId="0" xr:uid="{00000000-0006-0000-0200-000015000000}">
      <text>
        <r>
          <rPr>
            <sz val="11"/>
            <color theme="1"/>
            <rFont val="Calibri"/>
            <family val="2"/>
            <scheme val="minor"/>
          </rPr>
          <t>Produttività della persona (1,00 = standard)</t>
        </r>
      </text>
    </comment>
    <comment ref="V3" authorId="0" shapeId="0" xr:uid="{00000000-0006-0000-0200-000016000000}">
      <text>
        <r>
          <rPr>
            <sz val="11"/>
            <color theme="1"/>
            <rFont val="Calibri"/>
            <family val="2"/>
            <scheme val="minor"/>
          </rPr>
          <t>Utilizzo effettivo = U × P</t>
        </r>
      </text>
    </comment>
    <comment ref="W3" authorId="0" shapeId="0" xr:uid="{00000000-0006-0000-0200-000017000000}">
      <text>
        <r>
          <rPr>
            <sz val="11"/>
            <color theme="1"/>
            <rFont val="Calibri"/>
            <family val="2"/>
            <scheme val="minor"/>
          </rPr>
          <t>Overload se U supera la soglia massima sana; Underload se U è sotto la soglia minima sana</t>
        </r>
      </text>
    </comment>
    <comment ref="X3" authorId="0" shapeId="0" xr:uid="{00000000-0006-0000-0200-000018000000}">
      <text>
        <r>
          <rPr>
            <sz val="11"/>
            <color theme="1"/>
            <rFont val="Calibri"/>
            <family val="2"/>
            <scheme val="minor"/>
          </rPr>
          <t>Overhead orario (da foglio Parametri)</t>
        </r>
      </text>
    </comment>
    <comment ref="Y3" authorId="0" shapeId="0" xr:uid="{00000000-0006-0000-0200-000019000000}">
      <text>
        <r>
          <rPr>
            <sz val="11"/>
            <color theme="1"/>
            <rFont val="Calibri"/>
            <family val="2"/>
            <scheme val="minor"/>
          </rPr>
          <t>Fully Loaded Cost = Ch + OHh</t>
        </r>
      </text>
    </comment>
    <comment ref="Z3" authorId="0" shapeId="0" xr:uid="{00000000-0006-0000-0200-00001A000000}">
      <text>
        <r>
          <rPr>
            <sz val="11"/>
            <color theme="1"/>
            <rFont val="Calibri"/>
            <family val="2"/>
            <scheme val="minor"/>
          </rPr>
          <t>Coefficiente di supervisione RICEVUTA (ore di supervisione per ora produttiva)</t>
        </r>
      </text>
    </comment>
    <comment ref="AA3" authorId="0" shapeId="0" xr:uid="{00000000-0006-0000-0200-00001B000000}">
      <text>
        <r>
          <rPr>
            <sz val="11"/>
            <color theme="1"/>
            <rFont val="Calibri"/>
            <family val="2"/>
            <scheme val="minor"/>
          </rPr>
          <t>Costo della supervisione ricevuta = Csup × s</t>
        </r>
      </text>
    </comment>
    <comment ref="AB3" authorId="0" shapeId="0" xr:uid="{00000000-0006-0000-0200-00001C000000}">
      <text>
        <r>
          <rPr>
            <sz val="11"/>
            <color theme="1"/>
            <rFont val="Calibri"/>
            <family val="2"/>
            <scheme val="minor"/>
          </rPr>
          <t>Costo annuo della formazione ricevuta da altri (oltre a quella già in Ci)</t>
        </r>
      </text>
    </comment>
    <comment ref="AC3" authorId="0" shapeId="0" xr:uid="{00000000-0006-0000-0200-00001D000000}">
      <text>
        <r>
          <rPr>
            <sz val="11"/>
            <color theme="1"/>
            <rFont val="Calibri"/>
            <family val="2"/>
            <scheme val="minor"/>
          </rPr>
          <t>Ore di supervisione FORNITE ad altri (se la persona è supervisore)</t>
        </r>
      </text>
    </comment>
    <comment ref="AD3" authorId="0" shapeId="0" xr:uid="{00000000-0006-0000-0200-00001E000000}">
      <text>
        <r>
          <rPr>
            <sz val="11"/>
            <color theme="1"/>
            <rFont val="Calibri"/>
            <family val="2"/>
            <scheme val="minor"/>
          </rPr>
          <t>Valore della supervisione fornita = S × Csup</t>
        </r>
      </text>
    </comment>
    <comment ref="AE3" authorId="0" shapeId="0" xr:uid="{00000000-0006-0000-0200-00001F000000}">
      <text>
        <r>
          <rPr>
            <sz val="11"/>
            <color theme="1"/>
            <rFont val="Calibri"/>
            <family val="2"/>
            <scheme val="minor"/>
          </rPr>
          <t>Ore di coordinamento operativo complesso fornite</t>
        </r>
      </text>
    </comment>
    <comment ref="AF3" authorId="0" shapeId="0" xr:uid="{00000000-0006-0000-0200-000020000000}">
      <text>
        <r>
          <rPr>
            <sz val="11"/>
            <color theme="1"/>
            <rFont val="Calibri"/>
            <family val="2"/>
            <scheme val="minor"/>
          </rPr>
          <t>Valore del coordinamento fornito = O × Ccoord</t>
        </r>
      </text>
    </comment>
    <comment ref="AG3" authorId="0" shapeId="0" xr:uid="{00000000-0006-0000-0200-000021000000}">
      <text>
        <r>
          <rPr>
            <sz val="11"/>
            <color theme="1"/>
            <rFont val="Calibri"/>
            <family val="2"/>
            <scheme val="minor"/>
          </rPr>
          <t>Ore di training efficace fornite ad altri</t>
        </r>
      </text>
    </comment>
    <comment ref="AH3" authorId="0" shapeId="0" xr:uid="{00000000-0006-0000-0200-000022000000}">
      <text>
        <r>
          <rPr>
            <sz val="11"/>
            <color theme="1"/>
            <rFont val="Calibri"/>
            <family val="2"/>
            <scheme val="minor"/>
          </rPr>
          <t>Valore del training fornito (stima statica) = Tr × Cstd</t>
        </r>
      </text>
    </comment>
    <comment ref="AI3" authorId="0" shapeId="0" xr:uid="{00000000-0006-0000-0200-000023000000}">
      <text>
        <r>
          <rPr>
            <sz val="11"/>
            <color theme="1"/>
            <rFont val="Calibri"/>
            <family val="2"/>
            <scheme val="minor"/>
          </rPr>
          <t>Ore di supervisione RICEVUTA in totale (per il calcolo di ML)</t>
        </r>
      </text>
    </comment>
    <comment ref="AJ3" authorId="0" shapeId="0" xr:uid="{00000000-0006-0000-0200-000024000000}">
      <text>
        <r>
          <rPr>
            <sz val="11"/>
            <color theme="1"/>
            <rFont val="Calibri"/>
            <family val="2"/>
            <scheme val="minor"/>
          </rPr>
          <t>Management Load = (ore supervisione ricevuta + ore coordinamento fornite) / ore disponibili</t>
        </r>
      </text>
    </comment>
    <comment ref="AK3" authorId="0" shapeId="0" xr:uid="{00000000-0006-0000-0200-000025000000}">
      <text>
        <r>
          <rPr>
            <sz val="11"/>
            <color theme="1"/>
            <rFont val="Calibri"/>
            <family val="2"/>
            <scheme val="minor"/>
          </rPr>
          <t>Costo Economico Netto = Ci + Csup(i) + Ctrain(i) - Vsup - Vtrain - Vcoord</t>
        </r>
      </text>
    </comment>
    <comment ref="AL3" authorId="0" shapeId="0" xr:uid="{00000000-0006-0000-0200-000026000000}">
      <text>
        <r>
          <rPr>
            <sz val="11"/>
            <color theme="1"/>
            <rFont val="Calibri"/>
            <family val="2"/>
            <scheme val="minor"/>
          </rPr>
          <t>Costo orario equivalente = (Ci + Csup(i) + Ctrain(i) - Vsup - Vtrain) / (Hproduttive × P)</t>
        </r>
      </text>
    </comment>
    <comment ref="AM3" authorId="0" shapeId="0" xr:uid="{00000000-0006-0000-0200-000027000000}">
      <text>
        <r>
          <rPr>
            <sz val="11"/>
            <color theme="1"/>
            <rFont val="Calibri"/>
            <family val="2"/>
            <scheme val="minor"/>
          </rPr>
          <t>Indice di Leva Organizzativa individuale = (Vsup+Vtrain+Vcoord) / Ci</t>
        </r>
      </text>
    </comment>
    <comment ref="AN3" authorId="0" shapeId="0" xr:uid="{00000000-0006-0000-0200-000028000000}">
      <text>
        <r>
          <rPr>
            <sz val="11"/>
            <color theme="1"/>
            <rFont val="Calibri"/>
            <family val="2"/>
            <scheme val="minor"/>
          </rPr>
          <t>Classificazione a 4 profili in base a P e al valore organizzativo generato (§2.7)</t>
        </r>
      </text>
    </comment>
  </commentList>
</comments>
</file>

<file path=xl/sharedStrings.xml><?xml version="1.0" encoding="utf-8"?>
<sst xmlns="http://schemas.openxmlformats.org/spreadsheetml/2006/main" count="338" uniqueCount="234">
  <si>
    <t>Economia delle Risorse Umane — Calcoli di Parte II</t>
  </si>
  <si>
    <t>ImpresaNumerica · Capitolo 2 — foglio di calcolo professionale</t>
  </si>
  <si>
    <t>Questo file traduce in Excel tutte le formule statiche del Capitolo 2 (§2.1-2.9, più la fotografia di sistema §2.10.2), con la stessa logica già implementata nel modello Python (Software/hr_economy_app/model.py).</t>
  </si>
  <si>
    <t>Come è organizzato il file</t>
  </si>
  <si>
    <t>Parametri</t>
  </si>
  <si>
    <t>Costanti di sistema (Csup, Ccoord, Cstd, overhead) e soglie di riferimento. Modifica qui i valori aziendali reali.</t>
  </si>
  <si>
    <t>Persone</t>
  </si>
  <si>
    <t>Tabella principale: una riga per persona, con TUTTI i calcoli §2.1-2.9 (costo reale, ore, costo orario, saturazione, overhead, leva organizzativa, profilo).</t>
  </si>
  <si>
    <t>Turnover</t>
  </si>
  <si>
    <t>Costo di sostituzione, perdita di ramp-up e perdita di know-how per le persone che lasciano l'azienda (§2.8).</t>
  </si>
  <si>
    <t>Valutazione Persona</t>
  </si>
  <si>
    <t>Scheda di valutazione sintetica: seleziona una persona dalla tabella e ottieni il quadro completo con interpretazione automatica.</t>
  </si>
  <si>
    <t>KPI Dashboard</t>
  </si>
  <si>
    <t>I 6 KPI di sintesi del §2.9, con grafici di confronto tra le persone.</t>
  </si>
  <si>
    <t>Glossario</t>
  </si>
  <si>
    <t>Significato di ogni sigla usata nel file, con riferimento al paragrafo del libro.</t>
  </si>
  <si>
    <t>Legenda colori</t>
  </si>
  <si>
    <t>Cella di INPUT — inserisci qui i tuoi dati reali</t>
  </si>
  <si>
    <t>Cella CALCOLATA — contiene una formula, non modificare</t>
  </si>
  <si>
    <t>Intestazione di gruppo / sezione</t>
  </si>
  <si>
    <t>Come iniziare</t>
  </si>
  <si>
    <t>1. Vai su 'Parametri' e imposta i costi orari di sistema (Csup, Ccoord, Cstd) e l'overhead (OHh) reali della tua azienda.</t>
  </si>
  <si>
    <t>2. Vai su 'Persone': sostituisci le righe di esempio (tratte dagli esempi numerici del libro, §2.2-§2.7) con i dati reali del tuo team.</t>
  </si>
  <si>
    <t>3. Aggiungi eventuali uscite dal personale nel foglio 'Turnover'.</t>
  </si>
  <si>
    <t>4. Usa 'Valutazione Persona' per generare la scheda di una singola persona dal menu a tendina.</t>
  </si>
  <si>
    <t>5. Controlla i KPI aggregati e i grafici in 'KPI Dashboard'.</t>
  </si>
  <si>
    <t>Parametri di sistema</t>
  </si>
  <si>
    <t>Costanti condivise da tutti i calcoli (§2.5-§2.9)</t>
  </si>
  <si>
    <t>Costi/valori orari di sistema</t>
  </si>
  <si>
    <t>Parametro</t>
  </si>
  <si>
    <t>Valore</t>
  </si>
  <si>
    <t>Unità</t>
  </si>
  <si>
    <t>Descrizione</t>
  </si>
  <si>
    <t>Csup — costo/valore orario supervisione</t>
  </si>
  <si>
    <t>€/h</t>
  </si>
  <si>
    <t>Usato per il costo della supervisione ricevuta e per Vsup (§2.6-2.7)</t>
  </si>
  <si>
    <t>Ccoord — costo/valore orario coordinamento</t>
  </si>
  <si>
    <t>Usato per Vcoord — valore del coordinamento operativo fornito (§2.6)</t>
  </si>
  <si>
    <t>Cstd — valore/costo orario standard</t>
  </si>
  <si>
    <t>Usato per Vtrain (stima statica) e per la perdita di ramp-up nel turnover (§2.7-2.8)</t>
  </si>
  <si>
    <t>OHh — overhead orario</t>
  </si>
  <si>
    <t>Costo della struttura indiretta per ora produttiva del personale diretto (§2.5)</t>
  </si>
  <si>
    <t>Calcolo alternativo di OHh (facoltativo)</t>
  </si>
  <si>
    <t>Costi indiretti totali annui</t>
  </si>
  <si>
    <t>€</t>
  </si>
  <si>
    <t>Somma automatica di Ci per tutte le persone indirette nel foglio 'Persone'</t>
  </si>
  <si>
    <t>Totale ore produttive personale diretto</t>
  </si>
  <si>
    <t>h</t>
  </si>
  <si>
    <t>Somma automatica di Hproduttive per tutte le persone dirette nel foglio 'Persone'</t>
  </si>
  <si>
    <t>OHh calcolato</t>
  </si>
  <si>
    <t>Costi indiretti totali ÷ ore produttive dirette — copia questo valore in OHh se rispecchia la tua struttura</t>
  </si>
  <si>
    <t>Soglie di riferimento (§2.4, §2.6)</t>
  </si>
  <si>
    <t>Soglia Underload (U minimo sano)</t>
  </si>
  <si>
    <t>Sotto questa soglia l'utilizzo è considerato Underload (§2.4)</t>
  </si>
  <si>
    <t>Soglia Overload (U massimo sano)</t>
  </si>
  <si>
    <t>Sopra questa soglia l'utilizzo è considerato Overload (§2.4); range sano tipico 0,80-0,95</t>
  </si>
  <si>
    <t>Soglia Management Load critica</t>
  </si>
  <si>
    <t>Oltre questa soglia la persona è un collo di bottiglia gestionale (§2.6)</t>
  </si>
  <si>
    <t>Persone — calcoli §2.1-2.9 (una riga per persona)</t>
  </si>
  <si>
    <t>Anagrafica</t>
  </si>
  <si>
    <t>§2.2 — Costo reale annuo</t>
  </si>
  <si>
    <t>§2.3 — Ore e costo orario</t>
  </si>
  <si>
    <t>§2.4 — Saturazione e utilizzo</t>
  </si>
  <si>
    <t>§2.5 — Costo della struttura</t>
  </si>
  <si>
    <t>§2.6-2.7 — Leva organizzativa</t>
  </si>
  <si>
    <t>Nome</t>
  </si>
  <si>
    <t>Ruolo</t>
  </si>
  <si>
    <t>RAL</t>
  </si>
  <si>
    <t>Alpha</t>
  </si>
  <si>
    <t>Benefit</t>
  </si>
  <si>
    <t>Formazione</t>
  </si>
  <si>
    <t>Assenze</t>
  </si>
  <si>
    <t>Ci</t>
  </si>
  <si>
    <t>GiorniLav</t>
  </si>
  <si>
    <t>OreGiorn</t>
  </si>
  <si>
    <t>FerieGg</t>
  </si>
  <si>
    <t>PermessiH</t>
  </si>
  <si>
    <t>MalattiaH</t>
  </si>
  <si>
    <t>OreNonProd</t>
  </si>
  <si>
    <t>Hteoriche</t>
  </si>
  <si>
    <t>Hdisponibili</t>
  </si>
  <si>
    <t>Hproduttive</t>
  </si>
  <si>
    <t>OreLavorate</t>
  </si>
  <si>
    <t>Ch</t>
  </si>
  <si>
    <t>U</t>
  </si>
  <si>
    <t>P</t>
  </si>
  <si>
    <t>Ueff</t>
  </si>
  <si>
    <t>StatoSaturazione</t>
  </si>
  <si>
    <t>OHh</t>
  </si>
  <si>
    <t>CFL</t>
  </si>
  <si>
    <t>s</t>
  </si>
  <si>
    <t>CostoSup</t>
  </si>
  <si>
    <t>Ctrain</t>
  </si>
  <si>
    <t>S</t>
  </si>
  <si>
    <t>Vsup</t>
  </si>
  <si>
    <t>O</t>
  </si>
  <si>
    <t>Vcoord</t>
  </si>
  <si>
    <t>Tr</t>
  </si>
  <si>
    <t>Vtrain</t>
  </si>
  <si>
    <t>Hsup</t>
  </si>
  <si>
    <t>ML</t>
  </si>
  <si>
    <t>Cnet</t>
  </si>
  <si>
    <t>Ceq</t>
  </si>
  <si>
    <t>ILind</t>
  </si>
  <si>
    <t>Profilo</t>
  </si>
  <si>
    <t>Esempio libro - Persona A (bassa leva, §2.7)</t>
  </si>
  <si>
    <t>Diretto</t>
  </si>
  <si>
    <t>Esempio libro - Persona B (standard, §2.7)</t>
  </si>
  <si>
    <t>Esempio libro - Persona C (alta produttivita, §2.7)</t>
  </si>
  <si>
    <t>Esempio libro - Persona D senior (moltiplicatrice, §2.7)</t>
  </si>
  <si>
    <t>Es. - Analista Junior</t>
  </si>
  <si>
    <t>Es. - Team Leader Senior</t>
  </si>
  <si>
    <t>Es. - HR Business Partner (indiretto)</t>
  </si>
  <si>
    <t>Indiretto</t>
  </si>
  <si>
    <t>Es. - IT Support (indiretto)</t>
  </si>
  <si>
    <t>Turnover — costo di uscita di una persona (§2.8)</t>
  </si>
  <si>
    <t>Costo di sostituzione + perdita di ramp-up + perdita di know-how</t>
  </si>
  <si>
    <t>Recruiting</t>
  </si>
  <si>
    <t>Selezione</t>
  </si>
  <si>
    <t>Onboarding</t>
  </si>
  <si>
    <t>CostoSostituzione</t>
  </si>
  <si>
    <t>OreRamp</t>
  </si>
  <si>
    <t>PmediaRamp</t>
  </si>
  <si>
    <t>Cstd</t>
  </si>
  <si>
    <t>PerditaRamp</t>
  </si>
  <si>
    <t>PerditaKnowHow</t>
  </si>
  <si>
    <t>CostoTurnoverTotale</t>
  </si>
  <si>
    <t>TurnoverCostRatio</t>
  </si>
  <si>
    <t>Scheda di Valutazione — una persona</t>
  </si>
  <si>
    <t>Seleziona un nome dal menu a tendina per generare la scheda completa</t>
  </si>
  <si>
    <t>Seleziona persona:</t>
  </si>
  <si>
    <t>Anagrafica e costo pieno (§2.2, §2.5)</t>
  </si>
  <si>
    <t>Ci — Costo reale annuo</t>
  </si>
  <si>
    <t>Ch — Costo orario reale</t>
  </si>
  <si>
    <t>C_FL — Fully Loaded Cost</t>
  </si>
  <si>
    <t>Ore, saturazione e produttivita (§2.3-2.4)</t>
  </si>
  <si>
    <t>H produttive</t>
  </si>
  <si>
    <t>U — Utilization</t>
  </si>
  <si>
    <t>P — Produttivita</t>
  </si>
  <si>
    <t>U_eff — Utilizzo effettivo</t>
  </si>
  <si>
    <t>Stato saturazione</t>
  </si>
  <si>
    <t>Leva organizzativa e management (§2.6-2.7)</t>
  </si>
  <si>
    <t>s — coeff. supervisione ricevuta</t>
  </si>
  <si>
    <t>Costo supervisione ricevuta</t>
  </si>
  <si>
    <t>Ctrain — formazione ricevuta (altri)</t>
  </si>
  <si>
    <t>Vsup — valore supervisione fornita</t>
  </si>
  <si>
    <t>Vcoord — valore coordinamento fornito</t>
  </si>
  <si>
    <t>Vtrain — valore training fornito</t>
  </si>
  <si>
    <t>ML — Management Load</t>
  </si>
  <si>
    <t>Indice di Leva individuale</t>
  </si>
  <si>
    <t>C_net — Costo Economico Netto</t>
  </si>
  <si>
    <t>Ceq — Costo orario equivalente</t>
  </si>
  <si>
    <t>Interpretazione automatica</t>
  </si>
  <si>
    <t>Confronto Ch / C_FL / Ceq (€/h)</t>
  </si>
  <si>
    <t>Ch (costo orario reale)</t>
  </si>
  <si>
    <t>C_FL (fully loaded)</t>
  </si>
  <si>
    <t>Ceq (costo equivalente)</t>
  </si>
  <si>
    <t>I 6 KPI di sintesi del §2.9, calcolati sull'intera tabella Persone</t>
  </si>
  <si>
    <t>KPI di sintesi (§2.9)</t>
  </si>
  <si>
    <t>Rapporto Diretti/Indiretti</t>
  </si>
  <si>
    <t>Nd / Ni — peso della struttura di supporto (§2.1)</t>
  </si>
  <si>
    <t>Utilization effettiva media</t>
  </si>
  <si>
    <t>Media di U × P su tutte le persone (§2.4)</t>
  </si>
  <si>
    <t>Management Load medio</t>
  </si>
  <si>
    <t>Rischio medio di collo di bottiglia gestionale (§2.6)</t>
  </si>
  <si>
    <t>N. persone con ML &gt; soglia critica</t>
  </si>
  <si>
    <t>Persone il cui Management Load supera la soglia critica (§2.6)</t>
  </si>
  <si>
    <t>Productivity Index (P medio)</t>
  </si>
  <si>
    <t>Efficienza media del personale (§2.9)</t>
  </si>
  <si>
    <t>Indice di Leva Organizzativa</t>
  </si>
  <si>
    <t>(ΣVsup+ΣVtrain+ΣVcoord) / ΣCi — valore generato per altri, per euro speso (§2.9)</t>
  </si>
  <si>
    <t>Turnover Cost Ratio (da foglio Turnover)</t>
  </si>
  <si>
    <t>Somma dei costi di turnover registrati / ΣCi (§2.8-2.9)</t>
  </si>
  <si>
    <t>Conteggi</t>
  </si>
  <si>
    <t>N. totale persone</t>
  </si>
  <si>
    <t>di cui Diretti</t>
  </si>
  <si>
    <t>di cui Indiretti</t>
  </si>
  <si>
    <t>Grafici</t>
  </si>
  <si>
    <t>Significato di ogni sigla usata nel file, con riferimento al paragrafo del libro (Parte II, Cap. 2)</t>
  </si>
  <si>
    <t>Sigla</t>
  </si>
  <si>
    <t>Significato / formula</t>
  </si>
  <si>
    <t>Riferimento</t>
  </si>
  <si>
    <t>Nome/identificativo della persona</t>
  </si>
  <si>
    <t>Diretto o Indiretto (§2.1)</t>
  </si>
  <si>
    <t>Retribuzione Annua Lorda</t>
  </si>
  <si>
    <t>Aliquota oneri e contributi a carico azienda (INPS, INAIL, TFR...)</t>
  </si>
  <si>
    <t>Benefit annui (auto, welfare, buoni pasto...)</t>
  </si>
  <si>
    <t>Costo annuo della formazione ricevuta, incluso nel costo pieno Ci</t>
  </si>
  <si>
    <t>Costo annuo delle assenze retribuite non già in ferie/malattia</t>
  </si>
  <si>
    <t>Costo reale annuo = RAL*(1+alpha)+Benefit+Formazione+Assenze</t>
  </si>
  <si>
    <t>Giorni lavorativi annui contrattuali</t>
  </si>
  <si>
    <t>Ore lavorative giornaliere</t>
  </si>
  <si>
    <t>Giorni di ferie annui</t>
  </si>
  <si>
    <t>Ore di permesso annue</t>
  </si>
  <si>
    <t>Ore di malattia annue</t>
  </si>
  <si>
    <t>Ore disponibili ma non produttive (riunioni non produttive, attese...)</t>
  </si>
  <si>
    <t>Ore teoriche = Giorni lavorativi × Ore giornaliere</t>
  </si>
  <si>
    <t>Ore disponibili = Ore teoriche - ferie - permessi - malattia</t>
  </si>
  <si>
    <t>Ore produttive = Ore disponibili - ore non produttive</t>
  </si>
  <si>
    <t>Ore effettivamente lavorate (default = ore disponibili); modifica se diverso</t>
  </si>
  <si>
    <t>Costo orario reale = Ci / Ore produttive</t>
  </si>
  <si>
    <t>Utilization = Ore lavorate / Ore disponibili</t>
  </si>
  <si>
    <t>Produttività della persona (1,00 = standard)</t>
  </si>
  <si>
    <t>Utilizzo effettivo = U × P</t>
  </si>
  <si>
    <t>Overload se U supera la soglia massima sana; Underload se U è sotto la soglia minima sana</t>
  </si>
  <si>
    <t>Overhead orario (da foglio Parametri)</t>
  </si>
  <si>
    <t>Fully Loaded Cost = Ch + OHh</t>
  </si>
  <si>
    <t>Coefficiente di supervisione RICEVUTA (ore di supervisione per ora produttiva)</t>
  </si>
  <si>
    <t>Costo della supervisione ricevuta = Csup × s</t>
  </si>
  <si>
    <t>Costo annuo della formazione ricevuta da altri (oltre a quella già in Ci)</t>
  </si>
  <si>
    <t>Ore di supervisione FORNITE ad altri (se la persona è supervisore)</t>
  </si>
  <si>
    <t>Valore della supervisione fornita = S × Csup</t>
  </si>
  <si>
    <t>Ore di coordinamento operativo complesso fornite</t>
  </si>
  <si>
    <t>Valore del coordinamento fornito = O × Ccoord</t>
  </si>
  <si>
    <t>Ore di training efficace fornite ad altri</t>
  </si>
  <si>
    <t>Valore del training fornito (stima statica) = Tr × Cstd</t>
  </si>
  <si>
    <t>Ore di supervisione RICEVUTA in totale (per il calcolo di ML)</t>
  </si>
  <si>
    <t>Management Load = (ore supervisione ricevuta + ore coordinamento fornite) / ore disponibili</t>
  </si>
  <si>
    <t>Costo Economico Netto = Ci + Csup(i) + Ctrain(i) - Vsup - Vtrain - Vcoord</t>
  </si>
  <si>
    <t>Costo orario equivalente = (Ci + Csup(i) + Ctrain(i) - Vsup - Vtrain) / (Hproduttive × P)</t>
  </si>
  <si>
    <t>Indice di Leva Organizzativa individuale = (Vsup+Vtrain+Vcoord) / Ci</t>
  </si>
  <si>
    <t>Classificazione a 4 profili in base a P e al valore organizzativo generato (§2.7)</t>
  </si>
  <si>
    <t>Csup / Ccoord / Cstd</t>
  </si>
  <si>
    <t>Costi/valori orari di sistema (supervisione, coordinamento, standard)</t>
  </si>
  <si>
    <t>§2.6-2.7, Parametri</t>
  </si>
  <si>
    <t>Overhead orario della struttura indiretta</t>
  </si>
  <si>
    <t>§2.5, Parametri</t>
  </si>
  <si>
    <t>R(d/i)</t>
  </si>
  <si>
    <t>Rapporto Diretti/Indiretti = Nd / Ni</t>
  </si>
  <si>
    <t>§2.1</t>
  </si>
  <si>
    <t>ML soglia critica</t>
  </si>
  <si>
    <t>0,5 — oltre questa soglia, collo di bottiglia gestionale</t>
  </si>
  <si>
    <t>§2.6</t>
  </si>
  <si>
    <t>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</si>
</sst>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#,##0\ &quot;€&quot;"/>
    <numFmt numFmtId="166" formatCode="#,##0.0\ &quot;h&quot;"/>
    <numFmt numFmtId="167" formatCode="0.0%"/>
    <numFmt numFmtId="168" formatCode="0.0"/>
  </numFmts>
  <fonts count="13" x14ac:knownFonts="1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i/>
      <sz val="12"/>
      <color rgb="FFD9E2F3"/>
      <name val="Calibri"/>
    </font>
    <font>
      <b/>
      <sz val="12"/>
      <color rgb="FFFFFFFF"/>
      <name val="Calibri"/>
    </font>
    <font>
      <b/>
      <sz val="11"/>
      <color rgb="FF2E75B6"/>
      <name val="Calibri"/>
    </font>
    <font>
      <b/>
      <sz val="10"/>
      <name val="Calibri"/>
    </font>
    <font>
      <b/>
      <sz val="10"/>
      <color rgb="FF7F6000"/>
      <name val="Calibri"/>
    </font>
    <font>
      <sz val="10"/>
      <name val="Calibri"/>
    </font>
    <font>
      <b/>
      <sz val="9"/>
      <color rgb="FF1F3864"/>
      <name val="Calibri"/>
    </font>
    <font>
      <b/>
      <sz val="10"/>
      <color rgb="FFFFFFFF"/>
      <name val="Calibri"/>
    </font>
    <font>
      <b/>
      <sz val="12"/>
      <name val="Calibri"/>
    </font>
    <font>
      <b/>
      <sz val="12"/>
      <color rgb="FF7F6000"/>
      <name val="Calibri"/>
    </font>
    <font>
      <i/>
      <sz val="9"/>
      <color rgb="FF7F7F7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5" fillId="6" borderId="0" xfId="0" applyFont="1" applyFill="1"/>
    <xf numFmtId="0" fontId="5" fillId="0" borderId="0" xfId="0" applyFont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165" fontId="7" fillId="5" borderId="1" xfId="0" applyNumberFormat="1" applyFont="1" applyFill="1" applyBorder="1" applyAlignment="1">
      <alignment horizontal="right" vertical="center"/>
    </xf>
    <xf numFmtId="166" fontId="7" fillId="5" borderId="1" xfId="0" applyNumberFormat="1" applyFont="1" applyFill="1" applyBorder="1" applyAlignment="1">
      <alignment horizontal="right" vertical="center"/>
    </xf>
    <xf numFmtId="164" fontId="7" fillId="5" borderId="1" xfId="0" applyNumberFormat="1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right" vertical="center"/>
    </xf>
    <xf numFmtId="1" fontId="6" fillId="4" borderId="1" xfId="0" applyNumberFormat="1" applyFont="1" applyFill="1" applyBorder="1" applyAlignment="1">
      <alignment horizontal="right" vertical="center"/>
    </xf>
    <xf numFmtId="168" fontId="6" fillId="4" borderId="1" xfId="0" applyNumberFormat="1" applyFont="1" applyFill="1" applyBorder="1" applyAlignment="1">
      <alignment horizontal="right" vertical="center"/>
    </xf>
    <xf numFmtId="166" fontId="6" fillId="4" borderId="1" xfId="0" applyNumberFormat="1" applyFont="1" applyFill="1" applyBorder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/>
    </xf>
    <xf numFmtId="165" fontId="0" fillId="5" borderId="1" xfId="0" applyNumberFormat="1" applyFill="1" applyBorder="1" applyAlignment="1">
      <alignment horizontal="right" vertical="center"/>
    </xf>
    <xf numFmtId="164" fontId="0" fillId="5" borderId="1" xfId="0" applyNumberFormat="1" applyFill="1" applyBorder="1" applyAlignment="1">
      <alignment horizontal="right" vertical="center"/>
    </xf>
    <xf numFmtId="167" fontId="0" fillId="5" borderId="1" xfId="0" applyNumberFormat="1" applyFill="1" applyBorder="1" applyAlignment="1">
      <alignment horizontal="right" vertical="center"/>
    </xf>
    <xf numFmtId="0" fontId="10" fillId="0" borderId="0" xfId="0" applyFont="1"/>
    <xf numFmtId="166" fontId="0" fillId="5" borderId="1" xfId="0" applyNumberFormat="1" applyFill="1" applyBorder="1" applyAlignment="1">
      <alignment horizontal="right" vertical="center"/>
    </xf>
    <xf numFmtId="2" fontId="0" fillId="5" borderId="1" xfId="0" applyNumberFormat="1" applyFill="1" applyBorder="1" applyAlignment="1">
      <alignment horizontal="right" vertical="center"/>
    </xf>
    <xf numFmtId="0" fontId="7" fillId="0" borderId="0" xfId="0" applyFont="1"/>
    <xf numFmtId="164" fontId="0" fillId="5" borderId="1" xfId="0" applyNumberFormat="1" applyFill="1" applyBorder="1"/>
    <xf numFmtId="0" fontId="5" fillId="0" borderId="0" xfId="0" applyFont="1"/>
    <xf numFmtId="1" fontId="0" fillId="5" borderId="1" xfId="0" applyNumberFormat="1" applyFill="1" applyBorder="1" applyAlignment="1">
      <alignment horizontal="right" vertical="center"/>
    </xf>
    <xf numFmtId="0" fontId="9" fillId="2" borderId="0" xfId="0" applyFont="1" applyFill="1"/>
    <xf numFmtId="0" fontId="0" fillId="0" borderId="0" xfId="0" applyAlignment="1">
      <alignment vertical="top" wrapText="1"/>
    </xf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3" fillId="3" borderId="0" xfId="0" applyFont="1" applyFill="1" applyAlignment="1">
      <alignment horizontal="left" vertical="center" indent="1"/>
    </xf>
    <xf numFmtId="0" fontId="0" fillId="3" borderId="0" xfId="0" applyFill="1"/>
    <xf numFmtId="0" fontId="2" fillId="2" borderId="0" xfId="0" applyFont="1" applyFill="1" applyAlignment="1">
      <alignment horizontal="left" vertical="center" indent="1"/>
    </xf>
    <xf numFmtId="0" fontId="8" fillId="6" borderId="0" xfId="0" applyFont="1" applyFill="1" applyAlignment="1">
      <alignment horizontal="center" vertical="center"/>
    </xf>
    <xf numFmtId="0" fontId="0" fillId="6" borderId="0" xfId="0" applyFill="1"/>
    <xf numFmtId="0" fontId="0" fillId="5" borderId="1" xfId="0" applyFill="1" applyBorder="1" applyAlignment="1">
      <alignment vertical="top" wrapText="1"/>
    </xf>
    <xf numFmtId="0" fontId="11" fillId="4" borderId="1" xfId="0" applyFont="1" applyFill="1" applyBorder="1" applyAlignment="1">
      <alignment horizontal="left" vertical="center" indent="1"/>
    </xf>
    <xf numFmtId="0" fontId="0" fillId="0" borderId="2" xfId="0" applyBorder="1"/>
    <xf numFmtId="0" fontId="12" fillId="0" borderId="0" xfId="0" applyFont="1" applyAlignment="1">
      <alignment vertical="center" wrapText="1"/>
    </xf>
  </cellXfs>
  <cellStyles count="1">
    <cellStyle name="Normal" xfId="0" builtinId="0"/>
  </cellStyles>
  <dxfs count="14">
    <dxf>
      <font>
        <b/>
        <color rgb="FF1F3864"/>
      </font>
      <fill>
        <patternFill patternType="solid">
          <fgColor rgb="FFBDD7EE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1F3864"/>
      </font>
      <fill>
        <patternFill patternType="solid">
          <fgColor rgb="FFBDD7EE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it-IT"/>
              <a:t>Costo orario: reale vs pieno vs equivalente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'Valutazione Persona'!$A$39:$A$41</c:f>
              <c:strCache>
                <c:ptCount val="3"/>
                <c:pt idx="0">
                  <c:v>Ch (costo orario reale)</c:v>
                </c:pt>
                <c:pt idx="1">
                  <c:v>C_FL (fully loaded)</c:v>
                </c:pt>
                <c:pt idx="2">
                  <c:v>Ceq (costo equivalente)</c:v>
                </c:pt>
              </c:strCache>
            </c:strRef>
          </c:cat>
          <c:val>
            <c:numRef>
              <c:f>'Valutazione Persona'!$B$39:$B$41</c:f>
              <c:numCache>
                <c:formatCode>#,##0.00\ "€"</c:formatCode>
                <c:ptCount val="3"/>
                <c:pt idx="0">
                  <c:v>27.130434782608695</c:v>
                </c:pt>
                <c:pt idx="1">
                  <c:v>33.130434782608695</c:v>
                </c:pt>
                <c:pt idx="2">
                  <c:v>28.5604118993135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F-4303-8B91-25A692EBC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€/h</a:t>
                </a:r>
              </a:p>
            </c:rich>
          </c:tx>
          <c:overlay val="1"/>
        </c:title>
        <c:numFmt formatCode="#,##0.0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it-IT"/>
              <a:t>Ceq — costo orario equivalente per persona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Persone!$AL$3</c:f>
              <c:strCache>
                <c:ptCount val="1"/>
                <c:pt idx="0">
                  <c:v>Ceq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Esempio libro - Persona A (bassa leva, §2.7)</c:v>
                </c:pt>
                <c:pt idx="1">
                  <c:v>Esempio libro - Persona B (standard, §2.7)</c:v>
                </c:pt>
                <c:pt idx="2">
                  <c:v>Esempio libro - Persona C (alta produttivita, §2.7)</c:v>
                </c:pt>
                <c:pt idx="3">
                  <c:v>Esempio libro - Persona D senior (moltiplicatrice, §2.7)</c:v>
                </c:pt>
                <c:pt idx="4">
                  <c:v>Es. - Analista Junior</c:v>
                </c:pt>
                <c:pt idx="5">
                  <c:v>Es. - Team Leader Senior</c:v>
                </c:pt>
                <c:pt idx="6">
                  <c:v>Es. - HR Business Partner (indiretto)</c:v>
                </c:pt>
                <c:pt idx="7">
                  <c:v>Es. - IT Support (indiretto)</c:v>
                </c:pt>
              </c:strCache>
            </c:strRef>
          </c:cat>
          <c:val>
            <c:numRef>
              <c:f>Persone!$AL$4:$AL$23</c:f>
              <c:numCache>
                <c:formatCode>#,##0.00\ "€"</c:formatCode>
                <c:ptCount val="20"/>
                <c:pt idx="0">
                  <c:v>37.254901960784316</c:v>
                </c:pt>
                <c:pt idx="1">
                  <c:v>29.333333333333332</c:v>
                </c:pt>
                <c:pt idx="2">
                  <c:v>23.2</c:v>
                </c:pt>
                <c:pt idx="3">
                  <c:v>28.5</c:v>
                </c:pt>
                <c:pt idx="4">
                  <c:v>28.5604118993135</c:v>
                </c:pt>
                <c:pt idx="5">
                  <c:v>41.547983495274856</c:v>
                </c:pt>
                <c:pt idx="6">
                  <c:v>43.085106382978722</c:v>
                </c:pt>
                <c:pt idx="7">
                  <c:v>32.887218045112782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8-42C7-BC40-43E63F51A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€/h</a:t>
                </a:r>
              </a:p>
            </c:rich>
          </c:tx>
          <c:overlay val="1"/>
        </c:title>
        <c:numFmt formatCode="#,##0.0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2"/>
  <c:chart>
    <c:title>
      <c:tx>
        <c:rich>
          <a:bodyPr/>
          <a:lstStyle/>
          <a:p>
            <a:pPr>
              <a:defRPr/>
            </a:pPr>
            <a:r>
              <a:rPr lang="it-IT"/>
              <a:t>Confronto Ch / C_FL / Ceq per persona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Persone!$S$3</c:f>
              <c:strCache>
                <c:ptCount val="1"/>
                <c:pt idx="0">
                  <c:v>Ch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Esempio libro - Persona A (bassa leva, §2.7)</c:v>
                </c:pt>
                <c:pt idx="1">
                  <c:v>Esempio libro - Persona B (standard, §2.7)</c:v>
                </c:pt>
                <c:pt idx="2">
                  <c:v>Esempio libro - Persona C (alta produttivita, §2.7)</c:v>
                </c:pt>
                <c:pt idx="3">
                  <c:v>Esempio libro - Persona D senior (moltiplicatrice, §2.7)</c:v>
                </c:pt>
                <c:pt idx="4">
                  <c:v>Es. - Analista Junior</c:v>
                </c:pt>
                <c:pt idx="5">
                  <c:v>Es. - Team Leader Senior</c:v>
                </c:pt>
                <c:pt idx="6">
                  <c:v>Es. - HR Business Partner (indiretto)</c:v>
                </c:pt>
                <c:pt idx="7">
                  <c:v>Es. - IT Support (indiretto)</c:v>
                </c:pt>
              </c:strCache>
            </c:strRef>
          </c:cat>
          <c:val>
            <c:numRef>
              <c:f>Persone!$S$4:$S$23</c:f>
              <c:numCache>
                <c:formatCode>#,##0.00\ "€"</c:formatCode>
                <c:ptCount val="20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36.666666666666664</c:v>
                </c:pt>
                <c:pt idx="4">
                  <c:v>27.130434782608695</c:v>
                </c:pt>
                <c:pt idx="5">
                  <c:v>48.096632503660324</c:v>
                </c:pt>
                <c:pt idx="6">
                  <c:v>43.085106382978722</c:v>
                </c:pt>
                <c:pt idx="7">
                  <c:v>32.887218045112782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A-4A93-BAEB-BF476FC7C0FE}"/>
            </c:ext>
          </c:extLst>
        </c:ser>
        <c:ser>
          <c:idx val="1"/>
          <c:order val="1"/>
          <c:tx>
            <c:strRef>
              <c:f>Persone!$Y$3</c:f>
              <c:strCache>
                <c:ptCount val="1"/>
                <c:pt idx="0">
                  <c:v>CFL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Esempio libro - Persona A (bassa leva, §2.7)</c:v>
                </c:pt>
                <c:pt idx="1">
                  <c:v>Esempio libro - Persona B (standard, §2.7)</c:v>
                </c:pt>
                <c:pt idx="2">
                  <c:v>Esempio libro - Persona C (alta produttivita, §2.7)</c:v>
                </c:pt>
                <c:pt idx="3">
                  <c:v>Esempio libro - Persona D senior (moltiplicatrice, §2.7)</c:v>
                </c:pt>
                <c:pt idx="4">
                  <c:v>Es. - Analista Junior</c:v>
                </c:pt>
                <c:pt idx="5">
                  <c:v>Es. - Team Leader Senior</c:v>
                </c:pt>
                <c:pt idx="6">
                  <c:v>Es. - HR Business Partner (indiretto)</c:v>
                </c:pt>
                <c:pt idx="7">
                  <c:v>Es. - IT Support (indiretto)</c:v>
                </c:pt>
              </c:strCache>
            </c:strRef>
          </c:cat>
          <c:val>
            <c:numRef>
              <c:f>Persone!$Y$4:$Y$23</c:f>
              <c:numCache>
                <c:formatCode>#,##0.00\ "€"</c:formatCode>
                <c:ptCount val="20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42.666666666666664</c:v>
                </c:pt>
                <c:pt idx="4">
                  <c:v>33.130434782608695</c:v>
                </c:pt>
                <c:pt idx="5">
                  <c:v>54.096632503660324</c:v>
                </c:pt>
                <c:pt idx="6">
                  <c:v>49.085106382978722</c:v>
                </c:pt>
                <c:pt idx="7">
                  <c:v>38.887218045112782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4A-4A93-BAEB-BF476FC7C0FE}"/>
            </c:ext>
          </c:extLst>
        </c:ser>
        <c:ser>
          <c:idx val="2"/>
          <c:order val="2"/>
          <c:tx>
            <c:strRef>
              <c:f>Persone!$AL$3</c:f>
              <c:strCache>
                <c:ptCount val="1"/>
                <c:pt idx="0">
                  <c:v>Ceq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Esempio libro - Persona A (bassa leva, §2.7)</c:v>
                </c:pt>
                <c:pt idx="1">
                  <c:v>Esempio libro - Persona B (standard, §2.7)</c:v>
                </c:pt>
                <c:pt idx="2">
                  <c:v>Esempio libro - Persona C (alta produttivita, §2.7)</c:v>
                </c:pt>
                <c:pt idx="3">
                  <c:v>Esempio libro - Persona D senior (moltiplicatrice, §2.7)</c:v>
                </c:pt>
                <c:pt idx="4">
                  <c:v>Es. - Analista Junior</c:v>
                </c:pt>
                <c:pt idx="5">
                  <c:v>Es. - Team Leader Senior</c:v>
                </c:pt>
                <c:pt idx="6">
                  <c:v>Es. - HR Business Partner (indiretto)</c:v>
                </c:pt>
                <c:pt idx="7">
                  <c:v>Es. - IT Support (indiretto)</c:v>
                </c:pt>
              </c:strCache>
            </c:strRef>
          </c:cat>
          <c:val>
            <c:numRef>
              <c:f>Persone!$AL$4:$AL$23</c:f>
              <c:numCache>
                <c:formatCode>#,##0.00\ "€"</c:formatCode>
                <c:ptCount val="20"/>
                <c:pt idx="0">
                  <c:v>37.254901960784316</c:v>
                </c:pt>
                <c:pt idx="1">
                  <c:v>29.333333333333332</c:v>
                </c:pt>
                <c:pt idx="2">
                  <c:v>23.2</c:v>
                </c:pt>
                <c:pt idx="3">
                  <c:v>28.5</c:v>
                </c:pt>
                <c:pt idx="4">
                  <c:v>28.5604118993135</c:v>
                </c:pt>
                <c:pt idx="5">
                  <c:v>41.547983495274856</c:v>
                </c:pt>
                <c:pt idx="6">
                  <c:v>43.085106382978722</c:v>
                </c:pt>
                <c:pt idx="7">
                  <c:v>32.887218045112782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4A-4A93-BAEB-BF476FC7C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€/h</a:t>
                </a:r>
              </a:p>
            </c:rich>
          </c:tx>
          <c:overlay val="1"/>
        </c:title>
        <c:numFmt formatCode="#,##0.0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Diretti vs Indiretti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'KPI Dashboard'!$A$15:$A$16</c:f>
              <c:strCache>
                <c:ptCount val="2"/>
                <c:pt idx="0">
                  <c:v>di cui Diretti</c:v>
                </c:pt>
                <c:pt idx="1">
                  <c:v>di cui Indiretti</c:v>
                </c:pt>
              </c:strCache>
            </c:strRef>
          </c:cat>
          <c:val>
            <c:numRef>
              <c:f>'KPI Dashboard'!$B$15:$B$16</c:f>
              <c:numCache>
                <c:formatCode>0</c:formatCode>
                <c:ptCount val="2"/>
                <c:pt idx="0">
                  <c:v>6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A-4EA5-9151-4A3764276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38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92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39</xdr:row>
      <xdr:rowOff>0</xdr:rowOff>
    </xdr:from>
    <xdr:ext cx="792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18</xdr:row>
      <xdr:rowOff>0</xdr:rowOff>
    </xdr:from>
    <xdr:ext cx="4320000" cy="36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Persone" displayName="TabellaPersone" ref="A3:AN23">
  <autoFilter ref="A3:AN23" xr:uid="{00000000-0009-0000-0100-000001000000}"/>
  <tableColumns count="40">
    <tableColumn id="1" xr3:uid="{00000000-0010-0000-0000-000001000000}" name="Nome"/>
    <tableColumn id="2" xr3:uid="{00000000-0010-0000-0000-000002000000}" name="Ruolo"/>
    <tableColumn id="3" xr3:uid="{00000000-0010-0000-0000-000003000000}" name="RAL"/>
    <tableColumn id="4" xr3:uid="{00000000-0010-0000-0000-000004000000}" name="Alpha"/>
    <tableColumn id="5" xr3:uid="{00000000-0010-0000-0000-000005000000}" name="Benefit"/>
    <tableColumn id="6" xr3:uid="{00000000-0010-0000-0000-000006000000}" name="Formazione"/>
    <tableColumn id="7" xr3:uid="{00000000-0010-0000-0000-000007000000}" name="Assenze"/>
    <tableColumn id="8" xr3:uid="{00000000-0010-0000-0000-000008000000}" name="Ci"/>
    <tableColumn id="9" xr3:uid="{00000000-0010-0000-0000-000009000000}" name="GiorniLav"/>
    <tableColumn id="10" xr3:uid="{00000000-0010-0000-0000-00000A000000}" name="OreGiorn"/>
    <tableColumn id="11" xr3:uid="{00000000-0010-0000-0000-00000B000000}" name="FerieGg"/>
    <tableColumn id="12" xr3:uid="{00000000-0010-0000-0000-00000C000000}" name="PermessiH"/>
    <tableColumn id="13" xr3:uid="{00000000-0010-0000-0000-00000D000000}" name="MalattiaH"/>
    <tableColumn id="14" xr3:uid="{00000000-0010-0000-0000-00000E000000}" name="OreNonProd"/>
    <tableColumn id="15" xr3:uid="{00000000-0010-0000-0000-00000F000000}" name="Hteoriche"/>
    <tableColumn id="16" xr3:uid="{00000000-0010-0000-0000-000010000000}" name="Hdisponibili"/>
    <tableColumn id="17" xr3:uid="{00000000-0010-0000-0000-000011000000}" name="Hproduttive"/>
    <tableColumn id="18" xr3:uid="{00000000-0010-0000-0000-000012000000}" name="OreLavorate"/>
    <tableColumn id="19" xr3:uid="{00000000-0010-0000-0000-000013000000}" name="Ch"/>
    <tableColumn id="20" xr3:uid="{00000000-0010-0000-0000-000014000000}" name="U"/>
    <tableColumn id="21" xr3:uid="{00000000-0010-0000-0000-000015000000}" name="P"/>
    <tableColumn id="22" xr3:uid="{00000000-0010-0000-0000-000016000000}" name="Ueff"/>
    <tableColumn id="23" xr3:uid="{00000000-0010-0000-0000-000017000000}" name="StatoSaturazione"/>
    <tableColumn id="24" xr3:uid="{00000000-0010-0000-0000-000018000000}" name="OHh"/>
    <tableColumn id="25" xr3:uid="{00000000-0010-0000-0000-000019000000}" name="CFL"/>
    <tableColumn id="26" xr3:uid="{00000000-0010-0000-0000-00001A000000}" name="s"/>
    <tableColumn id="27" xr3:uid="{00000000-0010-0000-0000-00001B000000}" name="CostoSup"/>
    <tableColumn id="28" xr3:uid="{00000000-0010-0000-0000-00001C000000}" name="Ctrain"/>
    <tableColumn id="29" xr3:uid="{00000000-0010-0000-0000-00001D000000}" name="S2"/>
    <tableColumn id="30" xr3:uid="{00000000-0010-0000-0000-00001E000000}" name="Vsup"/>
    <tableColumn id="31" xr3:uid="{00000000-0010-0000-0000-00001F000000}" name="O"/>
    <tableColumn id="32" xr3:uid="{00000000-0010-0000-0000-000020000000}" name="Vcoord"/>
    <tableColumn id="33" xr3:uid="{00000000-0010-0000-0000-000021000000}" name="Tr"/>
    <tableColumn id="34" xr3:uid="{00000000-0010-0000-0000-000022000000}" name="Vtrain"/>
    <tableColumn id="35" xr3:uid="{00000000-0010-0000-0000-000023000000}" name="Hsup"/>
    <tableColumn id="36" xr3:uid="{00000000-0010-0000-0000-000024000000}" name="ML"/>
    <tableColumn id="37" xr3:uid="{00000000-0010-0000-0000-000025000000}" name="Cnet"/>
    <tableColumn id="38" xr3:uid="{00000000-0010-0000-0000-000026000000}" name="Ceq"/>
    <tableColumn id="39" xr3:uid="{00000000-0010-0000-0000-000027000000}" name="ILind"/>
    <tableColumn id="40" xr3:uid="{00000000-0010-0000-0000-000028000000}" name="Profilo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Turnover" displayName="TabellaTurnover" ref="A3:Q13">
  <autoFilter ref="A3:Q13" xr:uid="{00000000-0009-0000-0100-000002000000}"/>
  <tableColumns count="17">
    <tableColumn id="1" xr3:uid="{00000000-0010-0000-0100-000001000000}" name="Nome"/>
    <tableColumn id="2" xr3:uid="{00000000-0010-0000-0100-000002000000}" name="Ruolo"/>
    <tableColumn id="3" xr3:uid="{00000000-0010-0000-0100-000003000000}" name="Ci"/>
    <tableColumn id="4" xr3:uid="{00000000-0010-0000-0100-000004000000}" name="Recruiting"/>
    <tableColumn id="5" xr3:uid="{00000000-0010-0000-0100-000005000000}" name="Selezione"/>
    <tableColumn id="6" xr3:uid="{00000000-0010-0000-0100-000006000000}" name="Onboarding"/>
    <tableColumn id="7" xr3:uid="{00000000-0010-0000-0100-000007000000}" name="CostoSostituzione"/>
    <tableColumn id="8" xr3:uid="{00000000-0010-0000-0100-000008000000}" name="OreRamp"/>
    <tableColumn id="9" xr3:uid="{00000000-0010-0000-0100-000009000000}" name="PmediaRamp"/>
    <tableColumn id="10" xr3:uid="{00000000-0010-0000-0100-00000A000000}" name="Cstd"/>
    <tableColumn id="11" xr3:uid="{00000000-0010-0000-0100-00000B000000}" name="PerditaRamp"/>
    <tableColumn id="12" xr3:uid="{00000000-0010-0000-0100-00000C000000}" name="Vsup"/>
    <tableColumn id="13" xr3:uid="{00000000-0010-0000-0100-00000D000000}" name="Vtrain"/>
    <tableColumn id="14" xr3:uid="{00000000-0010-0000-0100-00000E000000}" name="Vcoord"/>
    <tableColumn id="15" xr3:uid="{00000000-0010-0000-0100-00000F000000}" name="PerditaKnowHow"/>
    <tableColumn id="16" xr3:uid="{00000000-0010-0000-0100-000010000000}" name="CostoTurnoverTotale"/>
    <tableColumn id="17" xr3:uid="{00000000-0010-0000-0100-000011000000}" name="TurnoverCostRati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opLeftCell="A4" workbookViewId="0">
      <selection sqref="A1:H1"/>
    </sheetView>
  </sheetViews>
  <sheetFormatPr defaultRowHeight="15" x14ac:dyDescent="0.25"/>
  <cols>
    <col min="1" max="2" width="26" customWidth="1"/>
    <col min="3" max="8" width="22" customWidth="1"/>
  </cols>
  <sheetData>
    <row r="1" spans="1:8" ht="33.950000000000003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</row>
    <row r="2" spans="1:8" ht="18" customHeight="1" x14ac:dyDescent="0.25">
      <c r="A2" s="41" t="s">
        <v>1</v>
      </c>
      <c r="B2" s="38"/>
      <c r="C2" s="38"/>
      <c r="D2" s="38"/>
      <c r="E2" s="38"/>
      <c r="F2" s="38"/>
      <c r="G2" s="38"/>
      <c r="H2" s="38"/>
    </row>
    <row r="4" spans="1:8" ht="32.1" customHeight="1" x14ac:dyDescent="0.25">
      <c r="A4" s="35" t="s">
        <v>2</v>
      </c>
      <c r="B4" s="36"/>
      <c r="C4" s="36"/>
      <c r="D4" s="36"/>
      <c r="E4" s="36"/>
      <c r="F4" s="36"/>
      <c r="G4" s="36"/>
      <c r="H4" s="36"/>
    </row>
    <row r="6" spans="1:8" ht="21.95" customHeight="1" x14ac:dyDescent="0.25">
      <c r="A6" s="39" t="s">
        <v>3</v>
      </c>
      <c r="B6" s="40"/>
      <c r="C6" s="40"/>
      <c r="D6" s="40"/>
      <c r="E6" s="40"/>
      <c r="F6" s="40"/>
      <c r="G6" s="40"/>
      <c r="H6" s="40"/>
    </row>
    <row r="7" spans="1:8" ht="30" customHeight="1" x14ac:dyDescent="0.25">
      <c r="A7" s="2" t="s">
        <v>4</v>
      </c>
      <c r="B7" s="35" t="s">
        <v>5</v>
      </c>
      <c r="C7" s="36"/>
      <c r="D7" s="36"/>
      <c r="E7" s="36"/>
      <c r="F7" s="36"/>
      <c r="G7" s="36"/>
      <c r="H7" s="36"/>
    </row>
    <row r="8" spans="1:8" ht="30" customHeight="1" x14ac:dyDescent="0.25">
      <c r="A8" s="2" t="s">
        <v>6</v>
      </c>
      <c r="B8" s="35" t="s">
        <v>7</v>
      </c>
      <c r="C8" s="36"/>
      <c r="D8" s="36"/>
      <c r="E8" s="36"/>
      <c r="F8" s="36"/>
      <c r="G8" s="36"/>
      <c r="H8" s="36"/>
    </row>
    <row r="9" spans="1:8" ht="30" customHeight="1" x14ac:dyDescent="0.25">
      <c r="A9" s="2" t="s">
        <v>8</v>
      </c>
      <c r="B9" s="35" t="s">
        <v>9</v>
      </c>
      <c r="C9" s="36"/>
      <c r="D9" s="36"/>
      <c r="E9" s="36"/>
      <c r="F9" s="36"/>
      <c r="G9" s="36"/>
      <c r="H9" s="36"/>
    </row>
    <row r="10" spans="1:8" ht="30" customHeight="1" x14ac:dyDescent="0.25">
      <c r="A10" s="2" t="s">
        <v>10</v>
      </c>
      <c r="B10" s="35" t="s">
        <v>11</v>
      </c>
      <c r="C10" s="36"/>
      <c r="D10" s="36"/>
      <c r="E10" s="36"/>
      <c r="F10" s="36"/>
      <c r="G10" s="36"/>
      <c r="H10" s="36"/>
    </row>
    <row r="11" spans="1:8" ht="30" customHeight="1" x14ac:dyDescent="0.25">
      <c r="A11" s="2" t="s">
        <v>12</v>
      </c>
      <c r="B11" s="35" t="s">
        <v>13</v>
      </c>
      <c r="C11" s="36"/>
      <c r="D11" s="36"/>
      <c r="E11" s="36"/>
      <c r="F11" s="36"/>
      <c r="G11" s="36"/>
      <c r="H11" s="36"/>
    </row>
    <row r="12" spans="1:8" ht="30" customHeight="1" x14ac:dyDescent="0.25">
      <c r="A12" s="2" t="s">
        <v>14</v>
      </c>
      <c r="B12" s="35" t="s">
        <v>15</v>
      </c>
      <c r="C12" s="36"/>
      <c r="D12" s="36"/>
      <c r="E12" s="36"/>
      <c r="F12" s="36"/>
      <c r="G12" s="36"/>
      <c r="H12" s="36"/>
    </row>
    <row r="14" spans="1:8" ht="21.95" customHeight="1" x14ac:dyDescent="0.25">
      <c r="A14" s="39" t="s">
        <v>16</v>
      </c>
      <c r="B14" s="40"/>
      <c r="C14" s="40"/>
      <c r="D14" s="40"/>
      <c r="E14" s="40"/>
      <c r="F14" s="40"/>
      <c r="G14" s="40"/>
      <c r="H14" s="40"/>
    </row>
    <row r="15" spans="1:8" x14ac:dyDescent="0.25">
      <c r="A15" s="3"/>
      <c r="B15" s="36" t="s">
        <v>17</v>
      </c>
      <c r="C15" s="36"/>
      <c r="D15" s="36"/>
      <c r="E15" s="36"/>
      <c r="F15" s="36"/>
      <c r="G15" s="36"/>
      <c r="H15" s="36"/>
    </row>
    <row r="16" spans="1:8" x14ac:dyDescent="0.25">
      <c r="A16" s="4"/>
      <c r="B16" s="36" t="s">
        <v>18</v>
      </c>
      <c r="C16" s="36"/>
      <c r="D16" s="36"/>
      <c r="E16" s="36"/>
      <c r="F16" s="36"/>
      <c r="G16" s="36"/>
      <c r="H16" s="36"/>
    </row>
    <row r="17" spans="1:8" x14ac:dyDescent="0.25">
      <c r="A17" s="5"/>
      <c r="B17" s="36" t="s">
        <v>19</v>
      </c>
      <c r="C17" s="36"/>
      <c r="D17" s="36"/>
      <c r="E17" s="36"/>
      <c r="F17" s="36"/>
      <c r="G17" s="36"/>
      <c r="H17" s="36"/>
    </row>
    <row r="19" spans="1:8" ht="21.95" customHeight="1" x14ac:dyDescent="0.25">
      <c r="A19" s="39" t="s">
        <v>20</v>
      </c>
      <c r="B19" s="40"/>
      <c r="C19" s="40"/>
      <c r="D19" s="40"/>
      <c r="E19" s="40"/>
      <c r="F19" s="40"/>
      <c r="G19" s="40"/>
      <c r="H19" s="40"/>
    </row>
    <row r="20" spans="1:8" ht="18" customHeight="1" x14ac:dyDescent="0.25">
      <c r="A20" s="35" t="s">
        <v>21</v>
      </c>
      <c r="B20" s="36"/>
      <c r="C20" s="36"/>
      <c r="D20" s="36"/>
      <c r="E20" s="36"/>
      <c r="F20" s="36"/>
      <c r="G20" s="36"/>
      <c r="H20" s="36"/>
    </row>
    <row r="21" spans="1:8" ht="18" customHeight="1" x14ac:dyDescent="0.25">
      <c r="A21" s="35" t="s">
        <v>22</v>
      </c>
      <c r="B21" s="36"/>
      <c r="C21" s="36"/>
      <c r="D21" s="36"/>
      <c r="E21" s="36"/>
      <c r="F21" s="36"/>
      <c r="G21" s="36"/>
      <c r="H21" s="36"/>
    </row>
    <row r="22" spans="1:8" ht="18" customHeight="1" x14ac:dyDescent="0.25">
      <c r="A22" s="35" t="s">
        <v>23</v>
      </c>
      <c r="B22" s="36"/>
      <c r="C22" s="36"/>
      <c r="D22" s="36"/>
      <c r="E22" s="36"/>
      <c r="F22" s="36"/>
      <c r="G22" s="36"/>
      <c r="H22" s="36"/>
    </row>
    <row r="23" spans="1:8" ht="18" customHeight="1" x14ac:dyDescent="0.25">
      <c r="A23" s="35" t="s">
        <v>24</v>
      </c>
      <c r="B23" s="36"/>
      <c r="C23" s="36"/>
      <c r="D23" s="36"/>
      <c r="E23" s="36"/>
      <c r="F23" s="36"/>
      <c r="G23" s="36"/>
      <c r="H23" s="36"/>
    </row>
    <row r="24" spans="1:8" ht="18" customHeight="1" x14ac:dyDescent="0.25">
      <c r="A24" s="35" t="s">
        <v>25</v>
      </c>
      <c r="B24" s="36"/>
      <c r="C24" s="36"/>
      <c r="D24" s="36"/>
      <c r="E24" s="36"/>
      <c r="F24" s="36"/>
      <c r="G24" s="36"/>
      <c r="H24" s="36"/>
    </row>
  </sheetData>
  <mergeCells count="20">
    <mergeCell ref="B17:H17"/>
    <mergeCell ref="A20:H20"/>
    <mergeCell ref="A19:H19"/>
    <mergeCell ref="B10:H10"/>
    <mergeCell ref="B9:H9"/>
    <mergeCell ref="A24:H24"/>
    <mergeCell ref="B15:H15"/>
    <mergeCell ref="A1:H1"/>
    <mergeCell ref="A6:H6"/>
    <mergeCell ref="B16:H16"/>
    <mergeCell ref="B7:H7"/>
    <mergeCell ref="A21:H21"/>
    <mergeCell ref="A2:H2"/>
    <mergeCell ref="B12:H12"/>
    <mergeCell ref="A14:H14"/>
    <mergeCell ref="B11:H11"/>
    <mergeCell ref="A23:H23"/>
    <mergeCell ref="A22:H22"/>
    <mergeCell ref="A4:H4"/>
    <mergeCell ref="B8:H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workbookViewId="0">
      <selection activeCell="B20" sqref="B20"/>
    </sheetView>
  </sheetViews>
  <sheetFormatPr defaultRowHeight="15" x14ac:dyDescent="0.25"/>
  <cols>
    <col min="1" max="1" width="34" customWidth="1"/>
    <col min="2" max="2" width="16" customWidth="1"/>
    <col min="3" max="3" width="10" customWidth="1"/>
    <col min="4" max="4" width="55" customWidth="1"/>
  </cols>
  <sheetData>
    <row r="1" spans="1:4" ht="33.950000000000003" customHeight="1" x14ac:dyDescent="0.25">
      <c r="A1" s="37" t="s">
        <v>26</v>
      </c>
      <c r="B1" s="38"/>
      <c r="C1" s="38"/>
      <c r="D1" s="38"/>
    </row>
    <row r="2" spans="1:4" ht="18" customHeight="1" x14ac:dyDescent="0.25">
      <c r="A2" s="41" t="s">
        <v>27</v>
      </c>
      <c r="B2" s="38"/>
      <c r="C2" s="38"/>
      <c r="D2" s="38"/>
    </row>
    <row r="4" spans="1:4" ht="21.95" customHeight="1" x14ac:dyDescent="0.25">
      <c r="A4" s="39" t="s">
        <v>28</v>
      </c>
      <c r="B4" s="40"/>
      <c r="C4" s="40"/>
      <c r="D4" s="40"/>
    </row>
    <row r="5" spans="1:4" x14ac:dyDescent="0.25">
      <c r="A5" s="6" t="s">
        <v>29</v>
      </c>
      <c r="B5" s="6" t="s">
        <v>30</v>
      </c>
      <c r="C5" s="6" t="s">
        <v>31</v>
      </c>
      <c r="D5" s="6" t="s">
        <v>32</v>
      </c>
    </row>
    <row r="6" spans="1:4" x14ac:dyDescent="0.25">
      <c r="A6" s="7" t="s">
        <v>33</v>
      </c>
      <c r="B6" s="8">
        <v>18</v>
      </c>
      <c r="C6" t="s">
        <v>34</v>
      </c>
      <c r="D6" t="s">
        <v>35</v>
      </c>
    </row>
    <row r="7" spans="1:4" x14ac:dyDescent="0.25">
      <c r="A7" s="7" t="s">
        <v>36</v>
      </c>
      <c r="B7" s="8">
        <v>18</v>
      </c>
      <c r="C7" t="s">
        <v>34</v>
      </c>
      <c r="D7" t="s">
        <v>37</v>
      </c>
    </row>
    <row r="8" spans="1:4" x14ac:dyDescent="0.25">
      <c r="A8" s="7" t="s">
        <v>38</v>
      </c>
      <c r="B8" s="8">
        <v>18.5</v>
      </c>
      <c r="C8" t="s">
        <v>34</v>
      </c>
      <c r="D8" t="s">
        <v>39</v>
      </c>
    </row>
    <row r="9" spans="1:4" x14ac:dyDescent="0.25">
      <c r="A9" s="7" t="s">
        <v>40</v>
      </c>
      <c r="B9" s="8">
        <v>6</v>
      </c>
      <c r="C9" t="s">
        <v>34</v>
      </c>
      <c r="D9" t="s">
        <v>41</v>
      </c>
    </row>
    <row r="11" spans="1:4" ht="21.95" customHeight="1" x14ac:dyDescent="0.25">
      <c r="A11" s="39" t="s">
        <v>42</v>
      </c>
      <c r="B11" s="40"/>
      <c r="C11" s="40"/>
      <c r="D11" s="40"/>
    </row>
    <row r="12" spans="1:4" x14ac:dyDescent="0.25">
      <c r="A12" s="7" t="s">
        <v>43</v>
      </c>
      <c r="B12" s="9">
        <f>SUMIF(TabellaPersone[Ruolo],"Indiretto",TabellaPersone[Ci])</f>
        <v>100440</v>
      </c>
      <c r="C12" t="s">
        <v>44</v>
      </c>
      <c r="D12" t="s">
        <v>45</v>
      </c>
    </row>
    <row r="13" spans="1:4" x14ac:dyDescent="0.25">
      <c r="A13" s="7" t="s">
        <v>46</v>
      </c>
      <c r="B13" s="10">
        <f>SUMIF(TabellaPersone[Ruolo],"Diretto",TabellaPersone[Hproduttive])</f>
        <v>8746</v>
      </c>
      <c r="C13" t="s">
        <v>47</v>
      </c>
      <c r="D13" t="s">
        <v>48</v>
      </c>
    </row>
    <row r="14" spans="1:4" x14ac:dyDescent="0.25">
      <c r="A14" s="7" t="s">
        <v>49</v>
      </c>
      <c r="B14" s="11">
        <f>IF(B13=0,0,B12/B13)</f>
        <v>11.484107020352161</v>
      </c>
      <c r="C14" t="s">
        <v>34</v>
      </c>
      <c r="D14" t="s">
        <v>50</v>
      </c>
    </row>
    <row r="16" spans="1:4" ht="21.95" customHeight="1" x14ac:dyDescent="0.25">
      <c r="A16" s="39" t="s">
        <v>51</v>
      </c>
      <c r="B16" s="40"/>
      <c r="C16" s="40"/>
      <c r="D16" s="40"/>
    </row>
    <row r="17" spans="1:4" x14ac:dyDescent="0.25">
      <c r="A17" s="7" t="s">
        <v>52</v>
      </c>
      <c r="B17" s="12">
        <v>0.8</v>
      </c>
      <c r="D17" t="s">
        <v>53</v>
      </c>
    </row>
    <row r="18" spans="1:4" x14ac:dyDescent="0.25">
      <c r="A18" s="7" t="s">
        <v>54</v>
      </c>
      <c r="B18" s="12">
        <v>1</v>
      </c>
      <c r="D18" t="s">
        <v>55</v>
      </c>
    </row>
    <row r="19" spans="1:4" x14ac:dyDescent="0.25">
      <c r="A19" s="7" t="s">
        <v>56</v>
      </c>
      <c r="B19" s="12">
        <v>0.3</v>
      </c>
      <c r="D19" t="s">
        <v>57</v>
      </c>
    </row>
  </sheetData>
  <mergeCells count="5">
    <mergeCell ref="A1:D1"/>
    <mergeCell ref="A11:D11"/>
    <mergeCell ref="A4:D4"/>
    <mergeCell ref="A16:D16"/>
    <mergeCell ref="A2:D2"/>
  </mergeCell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2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A13" sqref="A13"/>
    </sheetView>
  </sheetViews>
  <sheetFormatPr defaultRowHeight="15" x14ac:dyDescent="0.25"/>
  <cols>
    <col min="1" max="1" width="30" customWidth="1"/>
    <col min="2" max="3" width="11" customWidth="1"/>
    <col min="4" max="4" width="9" customWidth="1"/>
    <col min="5" max="5" width="11" customWidth="1"/>
    <col min="6" max="6" width="12" customWidth="1"/>
    <col min="7" max="7" width="11" customWidth="1"/>
    <col min="8" max="8" width="12" customWidth="1"/>
    <col min="9" max="9" width="10" customWidth="1"/>
    <col min="10" max="11" width="9" customWidth="1"/>
    <col min="12" max="13" width="10" customWidth="1"/>
    <col min="14" max="15" width="11" customWidth="1"/>
    <col min="16" max="16" width="12" customWidth="1"/>
    <col min="17" max="18" width="11" customWidth="1"/>
    <col min="19" max="19" width="10" customWidth="1"/>
    <col min="20" max="20" width="9" customWidth="1"/>
    <col min="21" max="21" width="8" customWidth="1"/>
    <col min="22" max="22" width="10" customWidth="1"/>
    <col min="23" max="23" width="14" customWidth="1"/>
    <col min="24" max="24" width="9" customWidth="1"/>
    <col min="25" max="25" width="10" customWidth="1"/>
    <col min="26" max="26" width="8" customWidth="1"/>
    <col min="27" max="27" width="11" customWidth="1"/>
    <col min="28" max="28" width="10" customWidth="1"/>
    <col min="29" max="29" width="8" customWidth="1"/>
    <col min="30" max="30" width="10" customWidth="1"/>
    <col min="31" max="31" width="8" customWidth="1"/>
    <col min="32" max="32" width="11" customWidth="1"/>
    <col min="33" max="33" width="8" customWidth="1"/>
    <col min="34" max="34" width="11" customWidth="1"/>
    <col min="35" max="36" width="9" customWidth="1"/>
    <col min="37" max="37" width="12" customWidth="1"/>
    <col min="38" max="39" width="10" customWidth="1"/>
    <col min="40" max="40" width="18" customWidth="1"/>
  </cols>
  <sheetData>
    <row r="1" spans="1:40" ht="33.950000000000003" customHeight="1" x14ac:dyDescent="0.25">
      <c r="A1" s="37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</row>
    <row r="2" spans="1:40" ht="15.95" customHeight="1" x14ac:dyDescent="0.25">
      <c r="A2" s="42" t="s">
        <v>59</v>
      </c>
      <c r="B2" s="43"/>
      <c r="C2" s="42" t="s">
        <v>60</v>
      </c>
      <c r="D2" s="43"/>
      <c r="E2" s="43"/>
      <c r="F2" s="43"/>
      <c r="G2" s="43"/>
      <c r="H2" s="43"/>
      <c r="I2" s="42" t="s">
        <v>61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2" t="s">
        <v>62</v>
      </c>
      <c r="U2" s="43"/>
      <c r="V2" s="43"/>
      <c r="W2" s="43"/>
      <c r="X2" s="42" t="s">
        <v>63</v>
      </c>
      <c r="Y2" s="43"/>
      <c r="Z2" s="42" t="s">
        <v>64</v>
      </c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</row>
    <row r="3" spans="1:40" ht="30" customHeight="1" x14ac:dyDescent="0.25">
      <c r="A3" s="13" t="s">
        <v>65</v>
      </c>
      <c r="B3" s="13" t="s">
        <v>66</v>
      </c>
      <c r="C3" s="13" t="s">
        <v>67</v>
      </c>
      <c r="D3" s="13" t="s">
        <v>68</v>
      </c>
      <c r="E3" s="13" t="s">
        <v>69</v>
      </c>
      <c r="F3" s="13" t="s">
        <v>70</v>
      </c>
      <c r="G3" s="13" t="s">
        <v>71</v>
      </c>
      <c r="H3" s="13" t="s">
        <v>72</v>
      </c>
      <c r="I3" s="13" t="s">
        <v>73</v>
      </c>
      <c r="J3" s="13" t="s">
        <v>74</v>
      </c>
      <c r="K3" s="13" t="s">
        <v>75</v>
      </c>
      <c r="L3" s="13" t="s">
        <v>76</v>
      </c>
      <c r="M3" s="13" t="s">
        <v>77</v>
      </c>
      <c r="N3" s="13" t="s">
        <v>78</v>
      </c>
      <c r="O3" s="13" t="s">
        <v>79</v>
      </c>
      <c r="P3" s="13" t="s">
        <v>80</v>
      </c>
      <c r="Q3" s="13" t="s">
        <v>81</v>
      </c>
      <c r="R3" s="13" t="s">
        <v>82</v>
      </c>
      <c r="S3" s="13" t="s">
        <v>83</v>
      </c>
      <c r="T3" s="13" t="s">
        <v>84</v>
      </c>
      <c r="U3" s="13" t="s">
        <v>85</v>
      </c>
      <c r="V3" s="13" t="s">
        <v>86</v>
      </c>
      <c r="W3" s="13" t="s">
        <v>87</v>
      </c>
      <c r="X3" s="13" t="s">
        <v>88</v>
      </c>
      <c r="Y3" s="13" t="s">
        <v>89</v>
      </c>
      <c r="Z3" s="13" t="s">
        <v>90</v>
      </c>
      <c r="AA3" s="13" t="s">
        <v>91</v>
      </c>
      <c r="AB3" s="13" t="s">
        <v>92</v>
      </c>
      <c r="AC3" s="13" t="s">
        <v>233</v>
      </c>
      <c r="AD3" s="13" t="s">
        <v>94</v>
      </c>
      <c r="AE3" s="13" t="s">
        <v>95</v>
      </c>
      <c r="AF3" s="13" t="s">
        <v>96</v>
      </c>
      <c r="AG3" s="13" t="s">
        <v>97</v>
      </c>
      <c r="AH3" s="13" t="s">
        <v>98</v>
      </c>
      <c r="AI3" s="13" t="s">
        <v>99</v>
      </c>
      <c r="AJ3" s="13" t="s">
        <v>100</v>
      </c>
      <c r="AK3" s="13" t="s">
        <v>101</v>
      </c>
      <c r="AL3" s="13" t="s">
        <v>102</v>
      </c>
      <c r="AM3" s="13" t="s">
        <v>103</v>
      </c>
      <c r="AN3" s="13" t="s">
        <v>104</v>
      </c>
    </row>
    <row r="4" spans="1:40" x14ac:dyDescent="0.25">
      <c r="A4" s="14" t="s">
        <v>105</v>
      </c>
      <c r="B4" s="15" t="s">
        <v>106</v>
      </c>
      <c r="C4" s="16">
        <v>30000</v>
      </c>
      <c r="D4" s="12">
        <v>0.3</v>
      </c>
      <c r="E4" s="16">
        <v>2000</v>
      </c>
      <c r="F4" s="16">
        <v>1000</v>
      </c>
      <c r="G4" s="16">
        <v>1500</v>
      </c>
      <c r="H4" s="9">
        <f t="shared" ref="H4:H23" si="0">IF(A4="","",C4*(1+D4)+E4+F4+G4)</f>
        <v>43500</v>
      </c>
      <c r="I4" s="17">
        <v>220</v>
      </c>
      <c r="J4" s="18">
        <v>8</v>
      </c>
      <c r="K4" s="18">
        <v>20</v>
      </c>
      <c r="L4" s="19">
        <v>32</v>
      </c>
      <c r="M4" s="19">
        <v>40</v>
      </c>
      <c r="N4" s="19">
        <v>28</v>
      </c>
      <c r="O4" s="10">
        <f t="shared" ref="O4:O23" si="1">IF(A4="","",I4*J4)</f>
        <v>1760</v>
      </c>
      <c r="P4" s="10">
        <f t="shared" ref="P4:P23" si="2">IF(A4="","",O4-K4*J4-L4-M4)</f>
        <v>1528</v>
      </c>
      <c r="Q4" s="10">
        <f t="shared" ref="Q4:Q23" si="3">IF(A4="","",P4-N4)</f>
        <v>1500</v>
      </c>
      <c r="R4" s="19">
        <f t="shared" ref="R4:R23" si="4">IF(A4="","",P4)</f>
        <v>1528</v>
      </c>
      <c r="S4" s="11">
        <f t="shared" ref="S4:S23" si="5">IF(A4="","",IFERROR(H4/Q4,""))</f>
        <v>29</v>
      </c>
      <c r="T4" s="20">
        <f t="shared" ref="T4:T23" si="6">IF(A4="","",IFERROR(R4/P4,""))</f>
        <v>1</v>
      </c>
      <c r="U4" s="21">
        <v>0.85</v>
      </c>
      <c r="V4" s="20">
        <f t="shared" ref="V4:V23" si="7">IF(A4="","",T4*U4)</f>
        <v>0.85</v>
      </c>
      <c r="W4" s="22" t="str">
        <f>IF(A4="","",IF(T4&gt;Parametri!$B$18,"Overload",IF(T4&lt;Parametri!$B$17,"Underload","Sano")))</f>
        <v>Sano</v>
      </c>
      <c r="X4" s="11">
        <f>IF(A4="","",Parametri!$B$9)</f>
        <v>6</v>
      </c>
      <c r="Y4" s="11">
        <f t="shared" ref="Y4:Y23" si="8">IF(A4="","",S4+X4)</f>
        <v>35</v>
      </c>
      <c r="Z4" s="21">
        <v>0</v>
      </c>
      <c r="AA4" s="9">
        <f>IF(A4="","",Parametri!$B$6*Z4)</f>
        <v>0</v>
      </c>
      <c r="AB4" s="16">
        <v>4000</v>
      </c>
      <c r="AC4" s="19">
        <v>0</v>
      </c>
      <c r="AD4" s="9">
        <f>IF(A4="","",AC4*Parametri!$B$6)</f>
        <v>0</v>
      </c>
      <c r="AE4" s="19">
        <v>0</v>
      </c>
      <c r="AF4" s="9">
        <f>IF(A4="","",AE4*Parametri!$B$7)</f>
        <v>0</v>
      </c>
      <c r="AG4" s="19">
        <v>0</v>
      </c>
      <c r="AH4" s="9">
        <f>IF(A4="","",AG4*Parametri!$B$8)</f>
        <v>0</v>
      </c>
      <c r="AI4" s="19">
        <v>0</v>
      </c>
      <c r="AJ4" s="20">
        <f t="shared" ref="AJ4:AJ23" si="9">IF(A4="","",IFERROR((AI4+AE4)/P4,""))</f>
        <v>0</v>
      </c>
      <c r="AK4" s="9">
        <f t="shared" ref="AK4:AK23" si="10">IF(A4="","",H4+AA4+AB4-AD4-AH4-AF4)</f>
        <v>47500</v>
      </c>
      <c r="AL4" s="11">
        <f t="shared" ref="AL4:AL23" si="11">IF(A4="","",IFERROR((H4+AA4+AB4-AD4-AH4)/(Q4*U4),""))</f>
        <v>37.254901960784316</v>
      </c>
      <c r="AM4" s="20">
        <f t="shared" ref="AM4:AM23" si="12">IF(A4="","",IFERROR((AD4+AH4+AF4)/H4,""))</f>
        <v>0</v>
      </c>
      <c r="AN4" s="22" t="str">
        <f t="shared" ref="AN4:AN23" si="13">IF(A4="","",IF(U4&lt;1,"A bassa leva",IF(OR(AD4&gt;0,AH4&gt;0),"Moltiplicatrice",IF(U4&gt;1.001,"Ad alta produttivita","Standard"))))</f>
        <v>A bassa leva</v>
      </c>
    </row>
    <row r="5" spans="1:40" x14ac:dyDescent="0.25">
      <c r="A5" s="14" t="s">
        <v>107</v>
      </c>
      <c r="B5" s="15" t="s">
        <v>106</v>
      </c>
      <c r="C5" s="16">
        <v>30000</v>
      </c>
      <c r="D5" s="12">
        <v>0.3</v>
      </c>
      <c r="E5" s="16">
        <v>2000</v>
      </c>
      <c r="F5" s="16">
        <v>1000</v>
      </c>
      <c r="G5" s="16">
        <v>1500</v>
      </c>
      <c r="H5" s="9">
        <f t="shared" si="0"/>
        <v>43500</v>
      </c>
      <c r="I5" s="17">
        <v>220</v>
      </c>
      <c r="J5" s="18">
        <v>8</v>
      </c>
      <c r="K5" s="18">
        <v>20</v>
      </c>
      <c r="L5" s="19">
        <v>32</v>
      </c>
      <c r="M5" s="19">
        <v>40</v>
      </c>
      <c r="N5" s="19">
        <v>28</v>
      </c>
      <c r="O5" s="10">
        <f t="shared" si="1"/>
        <v>1760</v>
      </c>
      <c r="P5" s="10">
        <f t="shared" si="2"/>
        <v>1528</v>
      </c>
      <c r="Q5" s="10">
        <f t="shared" si="3"/>
        <v>1500</v>
      </c>
      <c r="R5" s="19">
        <f t="shared" si="4"/>
        <v>1528</v>
      </c>
      <c r="S5" s="11">
        <f t="shared" si="5"/>
        <v>29</v>
      </c>
      <c r="T5" s="20">
        <f t="shared" si="6"/>
        <v>1</v>
      </c>
      <c r="U5" s="21">
        <v>1</v>
      </c>
      <c r="V5" s="20">
        <f t="shared" si="7"/>
        <v>1</v>
      </c>
      <c r="W5" s="22" t="str">
        <f>IF(A5="","",IF(T5&gt;Parametri!$B$18,"Overload",IF(T5&lt;Parametri!$B$17,"Underload","Sano")))</f>
        <v>Sano</v>
      </c>
      <c r="X5" s="11">
        <f>IF(A5="","",Parametri!$B$9)</f>
        <v>6</v>
      </c>
      <c r="Y5" s="11">
        <f t="shared" si="8"/>
        <v>35</v>
      </c>
      <c r="Z5" s="21">
        <v>0</v>
      </c>
      <c r="AA5" s="9">
        <f>IF(A5="","",Parametri!$B$6*Z5)</f>
        <v>0</v>
      </c>
      <c r="AB5" s="16">
        <v>500</v>
      </c>
      <c r="AC5" s="19">
        <v>0</v>
      </c>
      <c r="AD5" s="9">
        <f>IF(A5="","",AC5*Parametri!$B$6)</f>
        <v>0</v>
      </c>
      <c r="AE5" s="19">
        <v>0</v>
      </c>
      <c r="AF5" s="9">
        <f>IF(A5="","",AE5*Parametri!$B$7)</f>
        <v>0</v>
      </c>
      <c r="AG5" s="19">
        <v>0</v>
      </c>
      <c r="AH5" s="9">
        <f>IF(A5="","",AG5*Parametri!$B$8)</f>
        <v>0</v>
      </c>
      <c r="AI5" s="19">
        <v>0</v>
      </c>
      <c r="AJ5" s="20">
        <f t="shared" si="9"/>
        <v>0</v>
      </c>
      <c r="AK5" s="9">
        <f t="shared" si="10"/>
        <v>44000</v>
      </c>
      <c r="AL5" s="11">
        <f t="shared" si="11"/>
        <v>29.333333333333332</v>
      </c>
      <c r="AM5" s="20">
        <f t="shared" si="12"/>
        <v>0</v>
      </c>
      <c r="AN5" s="22" t="str">
        <f t="shared" si="13"/>
        <v>Standard</v>
      </c>
    </row>
    <row r="6" spans="1:40" x14ac:dyDescent="0.25">
      <c r="A6" s="14" t="s">
        <v>108</v>
      </c>
      <c r="B6" s="15" t="s">
        <v>106</v>
      </c>
      <c r="C6" s="16">
        <v>30000</v>
      </c>
      <c r="D6" s="12">
        <v>0.3</v>
      </c>
      <c r="E6" s="16">
        <v>2000</v>
      </c>
      <c r="F6" s="16">
        <v>1000</v>
      </c>
      <c r="G6" s="16">
        <v>1500</v>
      </c>
      <c r="H6" s="9">
        <f t="shared" si="0"/>
        <v>43500</v>
      </c>
      <c r="I6" s="17">
        <v>220</v>
      </c>
      <c r="J6" s="18">
        <v>8</v>
      </c>
      <c r="K6" s="18">
        <v>20</v>
      </c>
      <c r="L6" s="19">
        <v>32</v>
      </c>
      <c r="M6" s="19">
        <v>40</v>
      </c>
      <c r="N6" s="19">
        <v>28</v>
      </c>
      <c r="O6" s="10">
        <f t="shared" si="1"/>
        <v>1760</v>
      </c>
      <c r="P6" s="10">
        <f t="shared" si="2"/>
        <v>1528</v>
      </c>
      <c r="Q6" s="10">
        <f t="shared" si="3"/>
        <v>1500</v>
      </c>
      <c r="R6" s="19">
        <f t="shared" si="4"/>
        <v>1528</v>
      </c>
      <c r="S6" s="11">
        <f t="shared" si="5"/>
        <v>29</v>
      </c>
      <c r="T6" s="20">
        <f t="shared" si="6"/>
        <v>1</v>
      </c>
      <c r="U6" s="21">
        <v>1.25</v>
      </c>
      <c r="V6" s="20">
        <f t="shared" si="7"/>
        <v>1.25</v>
      </c>
      <c r="W6" s="22" t="str">
        <f>IF(A6="","",IF(T6&gt;Parametri!$B$18,"Overload",IF(T6&lt;Parametri!$B$17,"Underload","Sano")))</f>
        <v>Sano</v>
      </c>
      <c r="X6" s="11">
        <f>IF(A6="","",Parametri!$B$9)</f>
        <v>6</v>
      </c>
      <c r="Y6" s="11">
        <f t="shared" si="8"/>
        <v>35</v>
      </c>
      <c r="Z6" s="21">
        <v>0</v>
      </c>
      <c r="AA6" s="9">
        <f>IF(A6="","",Parametri!$B$6*Z6)</f>
        <v>0</v>
      </c>
      <c r="AB6" s="16">
        <v>0</v>
      </c>
      <c r="AC6" s="19">
        <v>0</v>
      </c>
      <c r="AD6" s="9">
        <f>IF(A6="","",AC6*Parametri!$B$6)</f>
        <v>0</v>
      </c>
      <c r="AE6" s="19">
        <v>0</v>
      </c>
      <c r="AF6" s="9">
        <f>IF(A6="","",AE6*Parametri!$B$7)</f>
        <v>0</v>
      </c>
      <c r="AG6" s="19">
        <v>0</v>
      </c>
      <c r="AH6" s="9">
        <f>IF(A6="","",AG6*Parametri!$B$8)</f>
        <v>0</v>
      </c>
      <c r="AI6" s="19">
        <v>0</v>
      </c>
      <c r="AJ6" s="20">
        <f t="shared" si="9"/>
        <v>0</v>
      </c>
      <c r="AK6" s="9">
        <f t="shared" si="10"/>
        <v>43500</v>
      </c>
      <c r="AL6" s="11">
        <f t="shared" si="11"/>
        <v>23.2</v>
      </c>
      <c r="AM6" s="20">
        <f t="shared" si="12"/>
        <v>0</v>
      </c>
      <c r="AN6" s="22" t="str">
        <f t="shared" si="13"/>
        <v>Ad alta produttivita</v>
      </c>
    </row>
    <row r="7" spans="1:40" x14ac:dyDescent="0.25">
      <c r="A7" s="14" t="s">
        <v>109</v>
      </c>
      <c r="B7" s="15" t="s">
        <v>106</v>
      </c>
      <c r="C7" s="16">
        <v>40000</v>
      </c>
      <c r="D7" s="12">
        <v>0.3</v>
      </c>
      <c r="E7" s="16">
        <v>1500</v>
      </c>
      <c r="F7" s="16">
        <v>1000</v>
      </c>
      <c r="G7" s="16">
        <v>500</v>
      </c>
      <c r="H7" s="9">
        <f t="shared" si="0"/>
        <v>55000</v>
      </c>
      <c r="I7" s="17">
        <v>220</v>
      </c>
      <c r="J7" s="18">
        <v>8</v>
      </c>
      <c r="K7" s="18">
        <v>20</v>
      </c>
      <c r="L7" s="19">
        <v>32</v>
      </c>
      <c r="M7" s="19">
        <v>40</v>
      </c>
      <c r="N7" s="19">
        <v>28</v>
      </c>
      <c r="O7" s="10">
        <f t="shared" si="1"/>
        <v>1760</v>
      </c>
      <c r="P7" s="10">
        <f t="shared" si="2"/>
        <v>1528</v>
      </c>
      <c r="Q7" s="10">
        <f t="shared" si="3"/>
        <v>1500</v>
      </c>
      <c r="R7" s="19">
        <f t="shared" si="4"/>
        <v>1528</v>
      </c>
      <c r="S7" s="11">
        <f t="shared" si="5"/>
        <v>36.666666666666664</v>
      </c>
      <c r="T7" s="20">
        <f t="shared" si="6"/>
        <v>1</v>
      </c>
      <c r="U7" s="21">
        <v>1.2</v>
      </c>
      <c r="V7" s="20">
        <f t="shared" si="7"/>
        <v>1.2</v>
      </c>
      <c r="W7" s="22" t="str">
        <f>IF(A7="","",IF(T7&gt;Parametri!$B$18,"Overload",IF(T7&lt;Parametri!$B$17,"Underload","Sano")))</f>
        <v>Sano</v>
      </c>
      <c r="X7" s="11">
        <f>IF(A7="","",Parametri!$B$9)</f>
        <v>6</v>
      </c>
      <c r="Y7" s="11">
        <f t="shared" si="8"/>
        <v>42.666666666666664</v>
      </c>
      <c r="Z7" s="21">
        <v>0</v>
      </c>
      <c r="AA7" s="9">
        <f>IF(A7="","",Parametri!$B$6*Z7)</f>
        <v>0</v>
      </c>
      <c r="AB7" s="16">
        <v>0</v>
      </c>
      <c r="AC7" s="19">
        <v>0</v>
      </c>
      <c r="AD7" s="9">
        <f>IF(A7="","",AC7*Parametri!$B$6)</f>
        <v>0</v>
      </c>
      <c r="AE7" s="19">
        <v>0</v>
      </c>
      <c r="AF7" s="9">
        <f>IF(A7="","",AE7*Parametri!$B$7)</f>
        <v>0</v>
      </c>
      <c r="AG7" s="19">
        <v>200</v>
      </c>
      <c r="AH7" s="9">
        <f>IF(A7="","",AG7*Parametri!$B$8)</f>
        <v>3700</v>
      </c>
      <c r="AI7" s="19">
        <v>0</v>
      </c>
      <c r="AJ7" s="20">
        <f t="shared" si="9"/>
        <v>0</v>
      </c>
      <c r="AK7" s="9">
        <f t="shared" si="10"/>
        <v>51300</v>
      </c>
      <c r="AL7" s="11">
        <f t="shared" si="11"/>
        <v>28.5</v>
      </c>
      <c r="AM7" s="20">
        <f t="shared" si="12"/>
        <v>6.7272727272727276E-2</v>
      </c>
      <c r="AN7" s="22" t="str">
        <f t="shared" si="13"/>
        <v>Moltiplicatrice</v>
      </c>
    </row>
    <row r="8" spans="1:40" x14ac:dyDescent="0.25">
      <c r="A8" s="14" t="s">
        <v>110</v>
      </c>
      <c r="B8" s="15" t="s">
        <v>106</v>
      </c>
      <c r="C8" s="16">
        <v>28000</v>
      </c>
      <c r="D8" s="12">
        <v>0.28000000000000003</v>
      </c>
      <c r="E8" s="16">
        <v>800</v>
      </c>
      <c r="F8" s="16">
        <v>500</v>
      </c>
      <c r="G8" s="16">
        <v>300</v>
      </c>
      <c r="H8" s="9">
        <f t="shared" si="0"/>
        <v>37440</v>
      </c>
      <c r="I8" s="17">
        <v>220</v>
      </c>
      <c r="J8" s="18">
        <v>8</v>
      </c>
      <c r="K8" s="18">
        <v>26</v>
      </c>
      <c r="L8" s="19">
        <v>32</v>
      </c>
      <c r="M8" s="19">
        <v>40</v>
      </c>
      <c r="N8" s="19">
        <v>100</v>
      </c>
      <c r="O8" s="10">
        <f t="shared" si="1"/>
        <v>1760</v>
      </c>
      <c r="P8" s="10">
        <f t="shared" si="2"/>
        <v>1480</v>
      </c>
      <c r="Q8" s="10">
        <f t="shared" si="3"/>
        <v>1380</v>
      </c>
      <c r="R8" s="19">
        <f t="shared" si="4"/>
        <v>1480</v>
      </c>
      <c r="S8" s="11">
        <f t="shared" si="5"/>
        <v>27.130434782608695</v>
      </c>
      <c r="T8" s="20">
        <f t="shared" si="6"/>
        <v>1</v>
      </c>
      <c r="U8" s="21">
        <v>0.95</v>
      </c>
      <c r="V8" s="20">
        <f t="shared" si="7"/>
        <v>0.95</v>
      </c>
      <c r="W8" s="22" t="str">
        <f>IF(A8="","",IF(T8&gt;Parametri!$B$18,"Overload",IF(T8&lt;Parametri!$B$17,"Underload","Sano")))</f>
        <v>Sano</v>
      </c>
      <c r="X8" s="11">
        <f>IF(A8="","",Parametri!$B$9)</f>
        <v>6</v>
      </c>
      <c r="Y8" s="11">
        <f t="shared" si="8"/>
        <v>33.130434782608695</v>
      </c>
      <c r="Z8" s="21">
        <v>0.15</v>
      </c>
      <c r="AA8" s="9">
        <f>IF(A8="","",Parametri!$B$6*Z8)</f>
        <v>2.6999999999999997</v>
      </c>
      <c r="AB8" s="16">
        <v>0</v>
      </c>
      <c r="AC8" s="19">
        <v>0</v>
      </c>
      <c r="AD8" s="9">
        <f>IF(A8="","",AC8*Parametri!$B$6)</f>
        <v>0</v>
      </c>
      <c r="AE8" s="19">
        <v>0</v>
      </c>
      <c r="AF8" s="9">
        <f>IF(A8="","",AE8*Parametri!$B$7)</f>
        <v>0</v>
      </c>
      <c r="AG8" s="19">
        <v>0</v>
      </c>
      <c r="AH8" s="9">
        <f>IF(A8="","",AG8*Parametri!$B$8)</f>
        <v>0</v>
      </c>
      <c r="AI8" s="19">
        <v>80</v>
      </c>
      <c r="AJ8" s="20">
        <f t="shared" si="9"/>
        <v>5.4054054054054057E-2</v>
      </c>
      <c r="AK8" s="9">
        <f t="shared" si="10"/>
        <v>37442.699999999997</v>
      </c>
      <c r="AL8" s="11">
        <f t="shared" si="11"/>
        <v>28.5604118993135</v>
      </c>
      <c r="AM8" s="20">
        <f t="shared" si="12"/>
        <v>0</v>
      </c>
      <c r="AN8" s="22" t="str">
        <f t="shared" si="13"/>
        <v>A bassa leva</v>
      </c>
    </row>
    <row r="9" spans="1:40" x14ac:dyDescent="0.25">
      <c r="A9" s="14" t="s">
        <v>111</v>
      </c>
      <c r="B9" s="15" t="s">
        <v>106</v>
      </c>
      <c r="C9" s="16">
        <v>48000</v>
      </c>
      <c r="D9" s="12">
        <v>0.3</v>
      </c>
      <c r="E9" s="16">
        <v>2500</v>
      </c>
      <c r="F9" s="16">
        <v>800</v>
      </c>
      <c r="G9" s="16">
        <v>0</v>
      </c>
      <c r="H9" s="9">
        <f t="shared" si="0"/>
        <v>65700</v>
      </c>
      <c r="I9" s="17">
        <v>220</v>
      </c>
      <c r="J9" s="18">
        <v>8</v>
      </c>
      <c r="K9" s="18">
        <v>26</v>
      </c>
      <c r="L9" s="19">
        <v>20</v>
      </c>
      <c r="M9" s="19">
        <v>16</v>
      </c>
      <c r="N9" s="19">
        <v>150</v>
      </c>
      <c r="O9" s="10">
        <f t="shared" si="1"/>
        <v>1760</v>
      </c>
      <c r="P9" s="10">
        <f t="shared" si="2"/>
        <v>1516</v>
      </c>
      <c r="Q9" s="10">
        <f t="shared" si="3"/>
        <v>1366</v>
      </c>
      <c r="R9" s="19">
        <f t="shared" si="4"/>
        <v>1516</v>
      </c>
      <c r="S9" s="11">
        <f t="shared" si="5"/>
        <v>48.096632503660324</v>
      </c>
      <c r="T9" s="20">
        <f t="shared" si="6"/>
        <v>1</v>
      </c>
      <c r="U9" s="21">
        <v>1.1000000000000001</v>
      </c>
      <c r="V9" s="20">
        <f t="shared" si="7"/>
        <v>1.1000000000000001</v>
      </c>
      <c r="W9" s="22" t="str">
        <f>IF(A9="","",IF(T9&gt;Parametri!$B$18,"Overload",IF(T9&lt;Parametri!$B$17,"Underload","Sano")))</f>
        <v>Sano</v>
      </c>
      <c r="X9" s="11">
        <f>IF(A9="","",Parametri!$B$9)</f>
        <v>6</v>
      </c>
      <c r="Y9" s="11">
        <f t="shared" si="8"/>
        <v>54.096632503660324</v>
      </c>
      <c r="Z9" s="21">
        <v>0</v>
      </c>
      <c r="AA9" s="9">
        <f>IF(A9="","",Parametri!$B$6*Z9)</f>
        <v>0</v>
      </c>
      <c r="AB9" s="16">
        <v>0</v>
      </c>
      <c r="AC9" s="19">
        <v>120</v>
      </c>
      <c r="AD9" s="9">
        <f>IF(A9="","",AC9*Parametri!$B$6)</f>
        <v>2160</v>
      </c>
      <c r="AE9" s="19">
        <v>180</v>
      </c>
      <c r="AF9" s="9">
        <f>IF(A9="","",AE9*Parametri!$B$7)</f>
        <v>3240</v>
      </c>
      <c r="AG9" s="19">
        <v>60</v>
      </c>
      <c r="AH9" s="9">
        <f>IF(A9="","",AG9*Parametri!$B$8)</f>
        <v>1110</v>
      </c>
      <c r="AI9" s="19">
        <v>0</v>
      </c>
      <c r="AJ9" s="20">
        <f t="shared" si="9"/>
        <v>0.11873350923482849</v>
      </c>
      <c r="AK9" s="9">
        <f t="shared" si="10"/>
        <v>59190</v>
      </c>
      <c r="AL9" s="11">
        <f t="shared" si="11"/>
        <v>41.547983495274856</v>
      </c>
      <c r="AM9" s="20">
        <f t="shared" si="12"/>
        <v>9.908675799086758E-2</v>
      </c>
      <c r="AN9" s="22" t="str">
        <f t="shared" si="13"/>
        <v>Moltiplicatrice</v>
      </c>
    </row>
    <row r="10" spans="1:40" x14ac:dyDescent="0.25">
      <c r="A10" s="14" t="s">
        <v>112</v>
      </c>
      <c r="B10" s="15" t="s">
        <v>113</v>
      </c>
      <c r="C10" s="16">
        <v>42000</v>
      </c>
      <c r="D10" s="12">
        <v>0.3</v>
      </c>
      <c r="E10" s="16">
        <v>1500</v>
      </c>
      <c r="F10" s="16">
        <v>600</v>
      </c>
      <c r="G10" s="16">
        <v>0</v>
      </c>
      <c r="H10" s="9">
        <f t="shared" si="0"/>
        <v>56700</v>
      </c>
      <c r="I10" s="17">
        <v>220</v>
      </c>
      <c r="J10" s="18">
        <v>8</v>
      </c>
      <c r="K10" s="18">
        <v>26</v>
      </c>
      <c r="L10" s="19">
        <v>32</v>
      </c>
      <c r="M10" s="19">
        <v>24</v>
      </c>
      <c r="N10" s="19">
        <v>180</v>
      </c>
      <c r="O10" s="10">
        <f t="shared" si="1"/>
        <v>1760</v>
      </c>
      <c r="P10" s="10">
        <f t="shared" si="2"/>
        <v>1496</v>
      </c>
      <c r="Q10" s="10">
        <f t="shared" si="3"/>
        <v>1316</v>
      </c>
      <c r="R10" s="19">
        <f t="shared" si="4"/>
        <v>1496</v>
      </c>
      <c r="S10" s="11">
        <f t="shared" si="5"/>
        <v>43.085106382978722</v>
      </c>
      <c r="T10" s="20">
        <f t="shared" si="6"/>
        <v>1</v>
      </c>
      <c r="U10" s="21">
        <v>1</v>
      </c>
      <c r="V10" s="20">
        <f t="shared" si="7"/>
        <v>1</v>
      </c>
      <c r="W10" s="22" t="str">
        <f>IF(A10="","",IF(T10&gt;Parametri!$B$18,"Overload",IF(T10&lt;Parametri!$B$17,"Underload","Sano")))</f>
        <v>Sano</v>
      </c>
      <c r="X10" s="11">
        <f>IF(A10="","",Parametri!$B$9)</f>
        <v>6</v>
      </c>
      <c r="Y10" s="11">
        <f t="shared" si="8"/>
        <v>49.085106382978722</v>
      </c>
      <c r="Z10" s="21">
        <v>0</v>
      </c>
      <c r="AA10" s="9">
        <f>IF(A10="","",Parametri!$B$6*Z10)</f>
        <v>0</v>
      </c>
      <c r="AB10" s="16">
        <v>0</v>
      </c>
      <c r="AC10" s="19">
        <v>0</v>
      </c>
      <c r="AD10" s="9">
        <f>IF(A10="","",AC10*Parametri!$B$6)</f>
        <v>0</v>
      </c>
      <c r="AE10" s="19">
        <v>0</v>
      </c>
      <c r="AF10" s="9">
        <f>IF(A10="","",AE10*Parametri!$B$7)</f>
        <v>0</v>
      </c>
      <c r="AG10" s="19">
        <v>0</v>
      </c>
      <c r="AH10" s="9">
        <f>IF(A10="","",AG10*Parametri!$B$8)</f>
        <v>0</v>
      </c>
      <c r="AI10" s="19">
        <v>0</v>
      </c>
      <c r="AJ10" s="20">
        <f t="shared" si="9"/>
        <v>0</v>
      </c>
      <c r="AK10" s="9">
        <f t="shared" si="10"/>
        <v>56700</v>
      </c>
      <c r="AL10" s="11">
        <f t="shared" si="11"/>
        <v>43.085106382978722</v>
      </c>
      <c r="AM10" s="20">
        <f t="shared" si="12"/>
        <v>0</v>
      </c>
      <c r="AN10" s="22" t="str">
        <f t="shared" si="13"/>
        <v>Standard</v>
      </c>
    </row>
    <row r="11" spans="1:40" x14ac:dyDescent="0.25">
      <c r="A11" s="14" t="s">
        <v>114</v>
      </c>
      <c r="B11" s="15" t="s">
        <v>113</v>
      </c>
      <c r="C11" s="16">
        <v>33000</v>
      </c>
      <c r="D11" s="12">
        <v>0.28000000000000003</v>
      </c>
      <c r="E11" s="16">
        <v>900</v>
      </c>
      <c r="F11" s="16">
        <v>400</v>
      </c>
      <c r="G11" s="16">
        <v>200</v>
      </c>
      <c r="H11" s="9">
        <f t="shared" si="0"/>
        <v>43740</v>
      </c>
      <c r="I11" s="17">
        <v>220</v>
      </c>
      <c r="J11" s="18">
        <v>8</v>
      </c>
      <c r="K11" s="18">
        <v>26</v>
      </c>
      <c r="L11" s="19">
        <v>32</v>
      </c>
      <c r="M11" s="19">
        <v>40</v>
      </c>
      <c r="N11" s="19">
        <v>150</v>
      </c>
      <c r="O11" s="10">
        <f t="shared" si="1"/>
        <v>1760</v>
      </c>
      <c r="P11" s="10">
        <f t="shared" si="2"/>
        <v>1480</v>
      </c>
      <c r="Q11" s="10">
        <f t="shared" si="3"/>
        <v>1330</v>
      </c>
      <c r="R11" s="19">
        <f t="shared" si="4"/>
        <v>1480</v>
      </c>
      <c r="S11" s="11">
        <f t="shared" si="5"/>
        <v>32.887218045112782</v>
      </c>
      <c r="T11" s="20">
        <f t="shared" si="6"/>
        <v>1</v>
      </c>
      <c r="U11" s="21">
        <v>1</v>
      </c>
      <c r="V11" s="20">
        <f t="shared" si="7"/>
        <v>1</v>
      </c>
      <c r="W11" s="22" t="str">
        <f>IF(A11="","",IF(T11&gt;Parametri!$B$18,"Overload",IF(T11&lt;Parametri!$B$17,"Underload","Sano")))</f>
        <v>Sano</v>
      </c>
      <c r="X11" s="11">
        <f>IF(A11="","",Parametri!$B$9)</f>
        <v>6</v>
      </c>
      <c r="Y11" s="11">
        <f t="shared" si="8"/>
        <v>38.887218045112782</v>
      </c>
      <c r="Z11" s="21">
        <v>0</v>
      </c>
      <c r="AA11" s="9">
        <f>IF(A11="","",Parametri!$B$6*Z11)</f>
        <v>0</v>
      </c>
      <c r="AB11" s="16">
        <v>0</v>
      </c>
      <c r="AC11" s="19">
        <v>0</v>
      </c>
      <c r="AD11" s="9">
        <f>IF(A11="","",AC11*Parametri!$B$6)</f>
        <v>0</v>
      </c>
      <c r="AE11" s="19">
        <v>0</v>
      </c>
      <c r="AF11" s="9">
        <f>IF(A11="","",AE11*Parametri!$B$7)</f>
        <v>0</v>
      </c>
      <c r="AG11" s="19">
        <v>0</v>
      </c>
      <c r="AH11" s="9">
        <f>IF(A11="","",AG11*Parametri!$B$8)</f>
        <v>0</v>
      </c>
      <c r="AI11" s="19">
        <v>0</v>
      </c>
      <c r="AJ11" s="20">
        <f t="shared" si="9"/>
        <v>0</v>
      </c>
      <c r="AK11" s="9">
        <f t="shared" si="10"/>
        <v>43740</v>
      </c>
      <c r="AL11" s="11">
        <f t="shared" si="11"/>
        <v>32.887218045112782</v>
      </c>
      <c r="AM11" s="20">
        <f t="shared" si="12"/>
        <v>0</v>
      </c>
      <c r="AN11" s="22" t="str">
        <f t="shared" si="13"/>
        <v>Standard</v>
      </c>
    </row>
    <row r="12" spans="1:40" x14ac:dyDescent="0.25">
      <c r="A12" s="14"/>
      <c r="B12" s="15"/>
      <c r="C12" s="16"/>
      <c r="D12" s="12"/>
      <c r="E12" s="16"/>
      <c r="F12" s="16"/>
      <c r="G12" s="16"/>
      <c r="H12" s="9" t="str">
        <f t="shared" si="0"/>
        <v/>
      </c>
      <c r="I12" s="17"/>
      <c r="J12" s="18"/>
      <c r="K12" s="18"/>
      <c r="L12" s="19"/>
      <c r="M12" s="19"/>
      <c r="N12" s="19"/>
      <c r="O12" s="10" t="str">
        <f t="shared" si="1"/>
        <v/>
      </c>
      <c r="P12" s="10" t="str">
        <f t="shared" si="2"/>
        <v/>
      </c>
      <c r="Q12" s="10" t="str">
        <f t="shared" si="3"/>
        <v/>
      </c>
      <c r="R12" s="19" t="str">
        <f t="shared" si="4"/>
        <v/>
      </c>
      <c r="S12" s="11" t="str">
        <f t="shared" si="5"/>
        <v/>
      </c>
      <c r="T12" s="20" t="str">
        <f t="shared" si="6"/>
        <v/>
      </c>
      <c r="U12" s="21"/>
      <c r="V12" s="20" t="str">
        <f t="shared" si="7"/>
        <v/>
      </c>
      <c r="W12" s="22" t="str">
        <f>IF(A12="","",IF(T12&gt;Parametri!$B$18,"Overload",IF(T12&lt;Parametri!$B$17,"Underload","Sano")))</f>
        <v/>
      </c>
      <c r="X12" s="11" t="str">
        <f>IF(A12="","",Parametri!$B$9)</f>
        <v/>
      </c>
      <c r="Y12" s="11" t="str">
        <f t="shared" si="8"/>
        <v/>
      </c>
      <c r="Z12" s="21"/>
      <c r="AA12" s="9" t="str">
        <f>IF(A12="","",Parametri!$B$6*Z12)</f>
        <v/>
      </c>
      <c r="AB12" s="16"/>
      <c r="AC12" s="19"/>
      <c r="AD12" s="9" t="str">
        <f>IF(A12="","",AC12*Parametri!$B$6)</f>
        <v/>
      </c>
      <c r="AE12" s="19"/>
      <c r="AF12" s="9" t="str">
        <f>IF(A12="","",AE12*Parametri!$B$7)</f>
        <v/>
      </c>
      <c r="AG12" s="19"/>
      <c r="AH12" s="9" t="str">
        <f>IF(A12="","",AG12*Parametri!$B$8)</f>
        <v/>
      </c>
      <c r="AI12" s="19"/>
      <c r="AJ12" s="20" t="str">
        <f t="shared" si="9"/>
        <v/>
      </c>
      <c r="AK12" s="9" t="str">
        <f t="shared" si="10"/>
        <v/>
      </c>
      <c r="AL12" s="11" t="str">
        <f t="shared" si="11"/>
        <v/>
      </c>
      <c r="AM12" s="20" t="str">
        <f t="shared" si="12"/>
        <v/>
      </c>
      <c r="AN12" s="22" t="str">
        <f t="shared" si="13"/>
        <v/>
      </c>
    </row>
    <row r="13" spans="1:40" x14ac:dyDescent="0.25">
      <c r="A13" s="14"/>
      <c r="B13" s="15"/>
      <c r="C13" s="16"/>
      <c r="D13" s="12"/>
      <c r="E13" s="16"/>
      <c r="F13" s="16"/>
      <c r="G13" s="16"/>
      <c r="H13" s="9" t="str">
        <f t="shared" si="0"/>
        <v/>
      </c>
      <c r="I13" s="17"/>
      <c r="J13" s="18"/>
      <c r="K13" s="18"/>
      <c r="L13" s="19"/>
      <c r="M13" s="19"/>
      <c r="N13" s="19"/>
      <c r="O13" s="10" t="str">
        <f t="shared" si="1"/>
        <v/>
      </c>
      <c r="P13" s="10" t="str">
        <f t="shared" si="2"/>
        <v/>
      </c>
      <c r="Q13" s="10" t="str">
        <f t="shared" si="3"/>
        <v/>
      </c>
      <c r="R13" s="19" t="str">
        <f t="shared" si="4"/>
        <v/>
      </c>
      <c r="S13" s="11" t="str">
        <f t="shared" si="5"/>
        <v/>
      </c>
      <c r="T13" s="20" t="str">
        <f t="shared" si="6"/>
        <v/>
      </c>
      <c r="U13" s="21"/>
      <c r="V13" s="20" t="str">
        <f t="shared" si="7"/>
        <v/>
      </c>
      <c r="W13" s="22" t="str">
        <f>IF(A13="","",IF(T13&gt;Parametri!$B$18,"Overload",IF(T13&lt;Parametri!$B$17,"Underload","Sano")))</f>
        <v/>
      </c>
      <c r="X13" s="11" t="str">
        <f>IF(A13="","",Parametri!$B$9)</f>
        <v/>
      </c>
      <c r="Y13" s="11" t="str">
        <f t="shared" si="8"/>
        <v/>
      </c>
      <c r="Z13" s="21"/>
      <c r="AA13" s="9" t="str">
        <f>IF(A13="","",Parametri!$B$6*Z13)</f>
        <v/>
      </c>
      <c r="AB13" s="16"/>
      <c r="AC13" s="19"/>
      <c r="AD13" s="9" t="str">
        <f>IF(A13="","",AC13*Parametri!$B$6)</f>
        <v/>
      </c>
      <c r="AE13" s="19"/>
      <c r="AF13" s="9" t="str">
        <f>IF(A13="","",AE13*Parametri!$B$7)</f>
        <v/>
      </c>
      <c r="AG13" s="19"/>
      <c r="AH13" s="9" t="str">
        <f>IF(A13="","",AG13*Parametri!$B$8)</f>
        <v/>
      </c>
      <c r="AI13" s="19"/>
      <c r="AJ13" s="20" t="str">
        <f t="shared" si="9"/>
        <v/>
      </c>
      <c r="AK13" s="9" t="str">
        <f t="shared" si="10"/>
        <v/>
      </c>
      <c r="AL13" s="11" t="str">
        <f t="shared" si="11"/>
        <v/>
      </c>
      <c r="AM13" s="20" t="str">
        <f t="shared" si="12"/>
        <v/>
      </c>
      <c r="AN13" s="22" t="str">
        <f t="shared" si="13"/>
        <v/>
      </c>
    </row>
    <row r="14" spans="1:40" x14ac:dyDescent="0.25">
      <c r="A14" s="14"/>
      <c r="B14" s="15"/>
      <c r="C14" s="16"/>
      <c r="D14" s="12"/>
      <c r="E14" s="16"/>
      <c r="F14" s="16"/>
      <c r="G14" s="16"/>
      <c r="H14" s="9" t="str">
        <f t="shared" si="0"/>
        <v/>
      </c>
      <c r="I14" s="17"/>
      <c r="J14" s="18"/>
      <c r="K14" s="18"/>
      <c r="L14" s="19"/>
      <c r="M14" s="19"/>
      <c r="N14" s="19"/>
      <c r="O14" s="10" t="str">
        <f t="shared" si="1"/>
        <v/>
      </c>
      <c r="P14" s="10" t="str">
        <f t="shared" si="2"/>
        <v/>
      </c>
      <c r="Q14" s="10" t="str">
        <f t="shared" si="3"/>
        <v/>
      </c>
      <c r="R14" s="19" t="str">
        <f t="shared" si="4"/>
        <v/>
      </c>
      <c r="S14" s="11" t="str">
        <f t="shared" si="5"/>
        <v/>
      </c>
      <c r="T14" s="20" t="str">
        <f t="shared" si="6"/>
        <v/>
      </c>
      <c r="U14" s="21"/>
      <c r="V14" s="20" t="str">
        <f t="shared" si="7"/>
        <v/>
      </c>
      <c r="W14" s="22" t="str">
        <f>IF(A14="","",IF(T14&gt;Parametri!$B$18,"Overload",IF(T14&lt;Parametri!$B$17,"Underload","Sano")))</f>
        <v/>
      </c>
      <c r="X14" s="11" t="str">
        <f>IF(A14="","",Parametri!$B$9)</f>
        <v/>
      </c>
      <c r="Y14" s="11" t="str">
        <f t="shared" si="8"/>
        <v/>
      </c>
      <c r="Z14" s="21"/>
      <c r="AA14" s="9" t="str">
        <f>IF(A14="","",Parametri!$B$6*Z14)</f>
        <v/>
      </c>
      <c r="AB14" s="16"/>
      <c r="AC14" s="19"/>
      <c r="AD14" s="9" t="str">
        <f>IF(A14="","",AC14*Parametri!$B$6)</f>
        <v/>
      </c>
      <c r="AE14" s="19"/>
      <c r="AF14" s="9" t="str">
        <f>IF(A14="","",AE14*Parametri!$B$7)</f>
        <v/>
      </c>
      <c r="AG14" s="19"/>
      <c r="AH14" s="9" t="str">
        <f>IF(A14="","",AG14*Parametri!$B$8)</f>
        <v/>
      </c>
      <c r="AI14" s="19"/>
      <c r="AJ14" s="20" t="str">
        <f t="shared" si="9"/>
        <v/>
      </c>
      <c r="AK14" s="9" t="str">
        <f t="shared" si="10"/>
        <v/>
      </c>
      <c r="AL14" s="11" t="str">
        <f t="shared" si="11"/>
        <v/>
      </c>
      <c r="AM14" s="20" t="str">
        <f t="shared" si="12"/>
        <v/>
      </c>
      <c r="AN14" s="22" t="str">
        <f t="shared" si="13"/>
        <v/>
      </c>
    </row>
    <row r="15" spans="1:40" x14ac:dyDescent="0.25">
      <c r="A15" s="14"/>
      <c r="B15" s="15"/>
      <c r="C15" s="16"/>
      <c r="D15" s="12"/>
      <c r="E15" s="16"/>
      <c r="F15" s="16"/>
      <c r="G15" s="16"/>
      <c r="H15" s="9" t="str">
        <f t="shared" si="0"/>
        <v/>
      </c>
      <c r="I15" s="17"/>
      <c r="J15" s="18"/>
      <c r="K15" s="18"/>
      <c r="L15" s="19"/>
      <c r="M15" s="19"/>
      <c r="N15" s="19"/>
      <c r="O15" s="10" t="str">
        <f t="shared" si="1"/>
        <v/>
      </c>
      <c r="P15" s="10" t="str">
        <f t="shared" si="2"/>
        <v/>
      </c>
      <c r="Q15" s="10" t="str">
        <f t="shared" si="3"/>
        <v/>
      </c>
      <c r="R15" s="19" t="str">
        <f t="shared" si="4"/>
        <v/>
      </c>
      <c r="S15" s="11" t="str">
        <f t="shared" si="5"/>
        <v/>
      </c>
      <c r="T15" s="20" t="str">
        <f t="shared" si="6"/>
        <v/>
      </c>
      <c r="U15" s="21"/>
      <c r="V15" s="20" t="str">
        <f t="shared" si="7"/>
        <v/>
      </c>
      <c r="W15" s="22" t="str">
        <f>IF(A15="","",IF(T15&gt;Parametri!$B$18,"Overload",IF(T15&lt;Parametri!$B$17,"Underload","Sano")))</f>
        <v/>
      </c>
      <c r="X15" s="11" t="str">
        <f>IF(A15="","",Parametri!$B$9)</f>
        <v/>
      </c>
      <c r="Y15" s="11" t="str">
        <f t="shared" si="8"/>
        <v/>
      </c>
      <c r="Z15" s="21"/>
      <c r="AA15" s="9" t="str">
        <f>IF(A15="","",Parametri!$B$6*Z15)</f>
        <v/>
      </c>
      <c r="AB15" s="16"/>
      <c r="AC15" s="19"/>
      <c r="AD15" s="9" t="str">
        <f>IF(A15="","",AC15*Parametri!$B$6)</f>
        <v/>
      </c>
      <c r="AE15" s="19"/>
      <c r="AF15" s="9" t="str">
        <f>IF(A15="","",AE15*Parametri!$B$7)</f>
        <v/>
      </c>
      <c r="AG15" s="19"/>
      <c r="AH15" s="9" t="str">
        <f>IF(A15="","",AG15*Parametri!$B$8)</f>
        <v/>
      </c>
      <c r="AI15" s="19"/>
      <c r="AJ15" s="20" t="str">
        <f t="shared" si="9"/>
        <v/>
      </c>
      <c r="AK15" s="9" t="str">
        <f t="shared" si="10"/>
        <v/>
      </c>
      <c r="AL15" s="11" t="str">
        <f t="shared" si="11"/>
        <v/>
      </c>
      <c r="AM15" s="20" t="str">
        <f t="shared" si="12"/>
        <v/>
      </c>
      <c r="AN15" s="22" t="str">
        <f t="shared" si="13"/>
        <v/>
      </c>
    </row>
    <row r="16" spans="1:40" x14ac:dyDescent="0.25">
      <c r="A16" s="14"/>
      <c r="B16" s="15"/>
      <c r="C16" s="16"/>
      <c r="D16" s="12"/>
      <c r="E16" s="16"/>
      <c r="F16" s="16"/>
      <c r="G16" s="16"/>
      <c r="H16" s="9" t="str">
        <f t="shared" si="0"/>
        <v/>
      </c>
      <c r="I16" s="17"/>
      <c r="J16" s="18"/>
      <c r="K16" s="18"/>
      <c r="L16" s="19"/>
      <c r="M16" s="19"/>
      <c r="N16" s="19"/>
      <c r="O16" s="10" t="str">
        <f t="shared" si="1"/>
        <v/>
      </c>
      <c r="P16" s="10" t="str">
        <f t="shared" si="2"/>
        <v/>
      </c>
      <c r="Q16" s="10" t="str">
        <f t="shared" si="3"/>
        <v/>
      </c>
      <c r="R16" s="19" t="str">
        <f t="shared" si="4"/>
        <v/>
      </c>
      <c r="S16" s="11" t="str">
        <f t="shared" si="5"/>
        <v/>
      </c>
      <c r="T16" s="20" t="str">
        <f t="shared" si="6"/>
        <v/>
      </c>
      <c r="U16" s="21"/>
      <c r="V16" s="20" t="str">
        <f t="shared" si="7"/>
        <v/>
      </c>
      <c r="W16" s="22" t="str">
        <f>IF(A16="","",IF(T16&gt;Parametri!$B$18,"Overload",IF(T16&lt;Parametri!$B$17,"Underload","Sano")))</f>
        <v/>
      </c>
      <c r="X16" s="11" t="str">
        <f>IF(A16="","",Parametri!$B$9)</f>
        <v/>
      </c>
      <c r="Y16" s="11" t="str">
        <f t="shared" si="8"/>
        <v/>
      </c>
      <c r="Z16" s="21"/>
      <c r="AA16" s="9" t="str">
        <f>IF(A16="","",Parametri!$B$6*Z16)</f>
        <v/>
      </c>
      <c r="AB16" s="16"/>
      <c r="AC16" s="19"/>
      <c r="AD16" s="9" t="str">
        <f>IF(A16="","",AC16*Parametri!$B$6)</f>
        <v/>
      </c>
      <c r="AE16" s="19"/>
      <c r="AF16" s="9" t="str">
        <f>IF(A16="","",AE16*Parametri!$B$7)</f>
        <v/>
      </c>
      <c r="AG16" s="19"/>
      <c r="AH16" s="9" t="str">
        <f>IF(A16="","",AG16*Parametri!$B$8)</f>
        <v/>
      </c>
      <c r="AI16" s="19"/>
      <c r="AJ16" s="20" t="str">
        <f t="shared" si="9"/>
        <v/>
      </c>
      <c r="AK16" s="9" t="str">
        <f t="shared" si="10"/>
        <v/>
      </c>
      <c r="AL16" s="11" t="str">
        <f t="shared" si="11"/>
        <v/>
      </c>
      <c r="AM16" s="20" t="str">
        <f t="shared" si="12"/>
        <v/>
      </c>
      <c r="AN16" s="22" t="str">
        <f t="shared" si="13"/>
        <v/>
      </c>
    </row>
    <row r="17" spans="1:40" x14ac:dyDescent="0.25">
      <c r="A17" s="14"/>
      <c r="B17" s="15"/>
      <c r="C17" s="16"/>
      <c r="D17" s="12"/>
      <c r="E17" s="16"/>
      <c r="F17" s="16"/>
      <c r="G17" s="16"/>
      <c r="H17" s="9" t="str">
        <f t="shared" si="0"/>
        <v/>
      </c>
      <c r="I17" s="17"/>
      <c r="J17" s="18"/>
      <c r="K17" s="18"/>
      <c r="L17" s="19"/>
      <c r="M17" s="19"/>
      <c r="N17" s="19"/>
      <c r="O17" s="10" t="str">
        <f t="shared" si="1"/>
        <v/>
      </c>
      <c r="P17" s="10" t="str">
        <f t="shared" si="2"/>
        <v/>
      </c>
      <c r="Q17" s="10" t="str">
        <f t="shared" si="3"/>
        <v/>
      </c>
      <c r="R17" s="19" t="str">
        <f t="shared" si="4"/>
        <v/>
      </c>
      <c r="S17" s="11" t="str">
        <f t="shared" si="5"/>
        <v/>
      </c>
      <c r="T17" s="20" t="str">
        <f t="shared" si="6"/>
        <v/>
      </c>
      <c r="U17" s="21"/>
      <c r="V17" s="20" t="str">
        <f t="shared" si="7"/>
        <v/>
      </c>
      <c r="W17" s="22" t="str">
        <f>IF(A17="","",IF(T17&gt;Parametri!$B$18,"Overload",IF(T17&lt;Parametri!$B$17,"Underload","Sano")))</f>
        <v/>
      </c>
      <c r="X17" s="11" t="str">
        <f>IF(A17="","",Parametri!$B$9)</f>
        <v/>
      </c>
      <c r="Y17" s="11" t="str">
        <f t="shared" si="8"/>
        <v/>
      </c>
      <c r="Z17" s="21"/>
      <c r="AA17" s="9" t="str">
        <f>IF(A17="","",Parametri!$B$6*Z17)</f>
        <v/>
      </c>
      <c r="AB17" s="16"/>
      <c r="AC17" s="19"/>
      <c r="AD17" s="9" t="str">
        <f>IF(A17="","",AC17*Parametri!$B$6)</f>
        <v/>
      </c>
      <c r="AE17" s="19"/>
      <c r="AF17" s="9" t="str">
        <f>IF(A17="","",AE17*Parametri!$B$7)</f>
        <v/>
      </c>
      <c r="AG17" s="19"/>
      <c r="AH17" s="9" t="str">
        <f>IF(A17="","",AG17*Parametri!$B$8)</f>
        <v/>
      </c>
      <c r="AI17" s="19"/>
      <c r="AJ17" s="20" t="str">
        <f t="shared" si="9"/>
        <v/>
      </c>
      <c r="AK17" s="9" t="str">
        <f t="shared" si="10"/>
        <v/>
      </c>
      <c r="AL17" s="11" t="str">
        <f t="shared" si="11"/>
        <v/>
      </c>
      <c r="AM17" s="20" t="str">
        <f t="shared" si="12"/>
        <v/>
      </c>
      <c r="AN17" s="22" t="str">
        <f t="shared" si="13"/>
        <v/>
      </c>
    </row>
    <row r="18" spans="1:40" x14ac:dyDescent="0.25">
      <c r="A18" s="14"/>
      <c r="B18" s="15"/>
      <c r="C18" s="16"/>
      <c r="D18" s="12"/>
      <c r="E18" s="16"/>
      <c r="F18" s="16"/>
      <c r="G18" s="16"/>
      <c r="H18" s="9" t="str">
        <f t="shared" si="0"/>
        <v/>
      </c>
      <c r="I18" s="17"/>
      <c r="J18" s="18"/>
      <c r="K18" s="18"/>
      <c r="L18" s="19"/>
      <c r="M18" s="19"/>
      <c r="N18" s="19"/>
      <c r="O18" s="10" t="str">
        <f t="shared" si="1"/>
        <v/>
      </c>
      <c r="P18" s="10" t="str">
        <f t="shared" si="2"/>
        <v/>
      </c>
      <c r="Q18" s="10" t="str">
        <f t="shared" si="3"/>
        <v/>
      </c>
      <c r="R18" s="19" t="str">
        <f t="shared" si="4"/>
        <v/>
      </c>
      <c r="S18" s="11" t="str">
        <f t="shared" si="5"/>
        <v/>
      </c>
      <c r="T18" s="20" t="str">
        <f t="shared" si="6"/>
        <v/>
      </c>
      <c r="U18" s="21"/>
      <c r="V18" s="20" t="str">
        <f t="shared" si="7"/>
        <v/>
      </c>
      <c r="W18" s="22" t="str">
        <f>IF(A18="","",IF(T18&gt;Parametri!$B$18,"Overload",IF(T18&lt;Parametri!$B$17,"Underload","Sano")))</f>
        <v/>
      </c>
      <c r="X18" s="11" t="str">
        <f>IF(A18="","",Parametri!$B$9)</f>
        <v/>
      </c>
      <c r="Y18" s="11" t="str">
        <f t="shared" si="8"/>
        <v/>
      </c>
      <c r="Z18" s="21"/>
      <c r="AA18" s="9" t="str">
        <f>IF(A18="","",Parametri!$B$6*Z18)</f>
        <v/>
      </c>
      <c r="AB18" s="16"/>
      <c r="AC18" s="19"/>
      <c r="AD18" s="9" t="str">
        <f>IF(A18="","",AC18*Parametri!$B$6)</f>
        <v/>
      </c>
      <c r="AE18" s="19"/>
      <c r="AF18" s="9" t="str">
        <f>IF(A18="","",AE18*Parametri!$B$7)</f>
        <v/>
      </c>
      <c r="AG18" s="19"/>
      <c r="AH18" s="9" t="str">
        <f>IF(A18="","",AG18*Parametri!$B$8)</f>
        <v/>
      </c>
      <c r="AI18" s="19"/>
      <c r="AJ18" s="20" t="str">
        <f t="shared" si="9"/>
        <v/>
      </c>
      <c r="AK18" s="9" t="str">
        <f t="shared" si="10"/>
        <v/>
      </c>
      <c r="AL18" s="11" t="str">
        <f t="shared" si="11"/>
        <v/>
      </c>
      <c r="AM18" s="20" t="str">
        <f t="shared" si="12"/>
        <v/>
      </c>
      <c r="AN18" s="22" t="str">
        <f t="shared" si="13"/>
        <v/>
      </c>
    </row>
    <row r="19" spans="1:40" x14ac:dyDescent="0.25">
      <c r="A19" s="14"/>
      <c r="B19" s="15"/>
      <c r="C19" s="16"/>
      <c r="D19" s="12"/>
      <c r="E19" s="16"/>
      <c r="F19" s="16"/>
      <c r="G19" s="16"/>
      <c r="H19" s="9" t="str">
        <f t="shared" si="0"/>
        <v/>
      </c>
      <c r="I19" s="17"/>
      <c r="J19" s="18"/>
      <c r="K19" s="18"/>
      <c r="L19" s="19"/>
      <c r="M19" s="19"/>
      <c r="N19" s="19"/>
      <c r="O19" s="10" t="str">
        <f t="shared" si="1"/>
        <v/>
      </c>
      <c r="P19" s="10" t="str">
        <f t="shared" si="2"/>
        <v/>
      </c>
      <c r="Q19" s="10" t="str">
        <f t="shared" si="3"/>
        <v/>
      </c>
      <c r="R19" s="19" t="str">
        <f t="shared" si="4"/>
        <v/>
      </c>
      <c r="S19" s="11" t="str">
        <f t="shared" si="5"/>
        <v/>
      </c>
      <c r="T19" s="20" t="str">
        <f t="shared" si="6"/>
        <v/>
      </c>
      <c r="U19" s="21"/>
      <c r="V19" s="20" t="str">
        <f t="shared" si="7"/>
        <v/>
      </c>
      <c r="W19" s="22" t="str">
        <f>IF(A19="","",IF(T19&gt;Parametri!$B$18,"Overload",IF(T19&lt;Parametri!$B$17,"Underload","Sano")))</f>
        <v/>
      </c>
      <c r="X19" s="11" t="str">
        <f>IF(A19="","",Parametri!$B$9)</f>
        <v/>
      </c>
      <c r="Y19" s="11" t="str">
        <f t="shared" si="8"/>
        <v/>
      </c>
      <c r="Z19" s="21"/>
      <c r="AA19" s="9" t="str">
        <f>IF(A19="","",Parametri!$B$6*Z19)</f>
        <v/>
      </c>
      <c r="AB19" s="16"/>
      <c r="AC19" s="19"/>
      <c r="AD19" s="9" t="str">
        <f>IF(A19="","",AC19*Parametri!$B$6)</f>
        <v/>
      </c>
      <c r="AE19" s="19"/>
      <c r="AF19" s="9" t="str">
        <f>IF(A19="","",AE19*Parametri!$B$7)</f>
        <v/>
      </c>
      <c r="AG19" s="19"/>
      <c r="AH19" s="9" t="str">
        <f>IF(A19="","",AG19*Parametri!$B$8)</f>
        <v/>
      </c>
      <c r="AI19" s="19"/>
      <c r="AJ19" s="20" t="str">
        <f t="shared" si="9"/>
        <v/>
      </c>
      <c r="AK19" s="9" t="str">
        <f t="shared" si="10"/>
        <v/>
      </c>
      <c r="AL19" s="11" t="str">
        <f t="shared" si="11"/>
        <v/>
      </c>
      <c r="AM19" s="20" t="str">
        <f t="shared" si="12"/>
        <v/>
      </c>
      <c r="AN19" s="22" t="str">
        <f t="shared" si="13"/>
        <v/>
      </c>
    </row>
    <row r="20" spans="1:40" x14ac:dyDescent="0.25">
      <c r="A20" s="14"/>
      <c r="B20" s="15"/>
      <c r="C20" s="16"/>
      <c r="D20" s="12"/>
      <c r="E20" s="16"/>
      <c r="F20" s="16"/>
      <c r="G20" s="16"/>
      <c r="H20" s="9" t="str">
        <f t="shared" si="0"/>
        <v/>
      </c>
      <c r="I20" s="17"/>
      <c r="J20" s="18"/>
      <c r="K20" s="18"/>
      <c r="L20" s="19"/>
      <c r="M20" s="19"/>
      <c r="N20" s="19"/>
      <c r="O20" s="10" t="str">
        <f t="shared" si="1"/>
        <v/>
      </c>
      <c r="P20" s="10" t="str">
        <f t="shared" si="2"/>
        <v/>
      </c>
      <c r="Q20" s="10" t="str">
        <f t="shared" si="3"/>
        <v/>
      </c>
      <c r="R20" s="19" t="str">
        <f t="shared" si="4"/>
        <v/>
      </c>
      <c r="S20" s="11" t="str">
        <f t="shared" si="5"/>
        <v/>
      </c>
      <c r="T20" s="20" t="str">
        <f t="shared" si="6"/>
        <v/>
      </c>
      <c r="U20" s="21"/>
      <c r="V20" s="20" t="str">
        <f t="shared" si="7"/>
        <v/>
      </c>
      <c r="W20" s="22" t="str">
        <f>IF(A20="","",IF(T20&gt;Parametri!$B$18,"Overload",IF(T20&lt;Parametri!$B$17,"Underload","Sano")))</f>
        <v/>
      </c>
      <c r="X20" s="11" t="str">
        <f>IF(A20="","",Parametri!$B$9)</f>
        <v/>
      </c>
      <c r="Y20" s="11" t="str">
        <f t="shared" si="8"/>
        <v/>
      </c>
      <c r="Z20" s="21"/>
      <c r="AA20" s="9" t="str">
        <f>IF(A20="","",Parametri!$B$6*Z20)</f>
        <v/>
      </c>
      <c r="AB20" s="16"/>
      <c r="AC20" s="19"/>
      <c r="AD20" s="9" t="str">
        <f>IF(A20="","",AC20*Parametri!$B$6)</f>
        <v/>
      </c>
      <c r="AE20" s="19"/>
      <c r="AF20" s="9" t="str">
        <f>IF(A20="","",AE20*Parametri!$B$7)</f>
        <v/>
      </c>
      <c r="AG20" s="19"/>
      <c r="AH20" s="9" t="str">
        <f>IF(A20="","",AG20*Parametri!$B$8)</f>
        <v/>
      </c>
      <c r="AI20" s="19"/>
      <c r="AJ20" s="20" t="str">
        <f t="shared" si="9"/>
        <v/>
      </c>
      <c r="AK20" s="9" t="str">
        <f t="shared" si="10"/>
        <v/>
      </c>
      <c r="AL20" s="11" t="str">
        <f t="shared" si="11"/>
        <v/>
      </c>
      <c r="AM20" s="20" t="str">
        <f t="shared" si="12"/>
        <v/>
      </c>
      <c r="AN20" s="22" t="str">
        <f t="shared" si="13"/>
        <v/>
      </c>
    </row>
    <row r="21" spans="1:40" x14ac:dyDescent="0.25">
      <c r="A21" s="14"/>
      <c r="B21" s="15"/>
      <c r="C21" s="16"/>
      <c r="D21" s="12"/>
      <c r="E21" s="16"/>
      <c r="F21" s="16"/>
      <c r="G21" s="16"/>
      <c r="H21" s="9" t="str">
        <f t="shared" si="0"/>
        <v/>
      </c>
      <c r="I21" s="17"/>
      <c r="J21" s="18"/>
      <c r="K21" s="18"/>
      <c r="L21" s="19"/>
      <c r="M21" s="19"/>
      <c r="N21" s="19"/>
      <c r="O21" s="10" t="str">
        <f t="shared" si="1"/>
        <v/>
      </c>
      <c r="P21" s="10" t="str">
        <f t="shared" si="2"/>
        <v/>
      </c>
      <c r="Q21" s="10" t="str">
        <f t="shared" si="3"/>
        <v/>
      </c>
      <c r="R21" s="19" t="str">
        <f t="shared" si="4"/>
        <v/>
      </c>
      <c r="S21" s="11" t="str">
        <f t="shared" si="5"/>
        <v/>
      </c>
      <c r="T21" s="20" t="str">
        <f t="shared" si="6"/>
        <v/>
      </c>
      <c r="U21" s="21"/>
      <c r="V21" s="20" t="str">
        <f t="shared" si="7"/>
        <v/>
      </c>
      <c r="W21" s="22" t="str">
        <f>IF(A21="","",IF(T21&gt;Parametri!$B$18,"Overload",IF(T21&lt;Parametri!$B$17,"Underload","Sano")))</f>
        <v/>
      </c>
      <c r="X21" s="11" t="str">
        <f>IF(A21="","",Parametri!$B$9)</f>
        <v/>
      </c>
      <c r="Y21" s="11" t="str">
        <f t="shared" si="8"/>
        <v/>
      </c>
      <c r="Z21" s="21"/>
      <c r="AA21" s="9" t="str">
        <f>IF(A21="","",Parametri!$B$6*Z21)</f>
        <v/>
      </c>
      <c r="AB21" s="16"/>
      <c r="AC21" s="19"/>
      <c r="AD21" s="9" t="str">
        <f>IF(A21="","",AC21*Parametri!$B$6)</f>
        <v/>
      </c>
      <c r="AE21" s="19"/>
      <c r="AF21" s="9" t="str">
        <f>IF(A21="","",AE21*Parametri!$B$7)</f>
        <v/>
      </c>
      <c r="AG21" s="19"/>
      <c r="AH21" s="9" t="str">
        <f>IF(A21="","",AG21*Parametri!$B$8)</f>
        <v/>
      </c>
      <c r="AI21" s="19"/>
      <c r="AJ21" s="20" t="str">
        <f t="shared" si="9"/>
        <v/>
      </c>
      <c r="AK21" s="9" t="str">
        <f t="shared" si="10"/>
        <v/>
      </c>
      <c r="AL21" s="11" t="str">
        <f t="shared" si="11"/>
        <v/>
      </c>
      <c r="AM21" s="20" t="str">
        <f t="shared" si="12"/>
        <v/>
      </c>
      <c r="AN21" s="22" t="str">
        <f t="shared" si="13"/>
        <v/>
      </c>
    </row>
    <row r="22" spans="1:40" x14ac:dyDescent="0.25">
      <c r="A22" s="14"/>
      <c r="B22" s="15"/>
      <c r="C22" s="16"/>
      <c r="D22" s="12"/>
      <c r="E22" s="16"/>
      <c r="F22" s="16"/>
      <c r="G22" s="16"/>
      <c r="H22" s="9" t="str">
        <f t="shared" si="0"/>
        <v/>
      </c>
      <c r="I22" s="17"/>
      <c r="J22" s="18"/>
      <c r="K22" s="18"/>
      <c r="L22" s="19"/>
      <c r="M22" s="19"/>
      <c r="N22" s="19"/>
      <c r="O22" s="10" t="str">
        <f t="shared" si="1"/>
        <v/>
      </c>
      <c r="P22" s="10" t="str">
        <f t="shared" si="2"/>
        <v/>
      </c>
      <c r="Q22" s="10" t="str">
        <f t="shared" si="3"/>
        <v/>
      </c>
      <c r="R22" s="19" t="str">
        <f t="shared" si="4"/>
        <v/>
      </c>
      <c r="S22" s="11" t="str">
        <f t="shared" si="5"/>
        <v/>
      </c>
      <c r="T22" s="20" t="str">
        <f t="shared" si="6"/>
        <v/>
      </c>
      <c r="U22" s="21"/>
      <c r="V22" s="20" t="str">
        <f t="shared" si="7"/>
        <v/>
      </c>
      <c r="W22" s="22" t="str">
        <f>IF(A22="","",IF(T22&gt;Parametri!$B$18,"Overload",IF(T22&lt;Parametri!$B$17,"Underload","Sano")))</f>
        <v/>
      </c>
      <c r="X22" s="11" t="str">
        <f>IF(A22="","",Parametri!$B$9)</f>
        <v/>
      </c>
      <c r="Y22" s="11" t="str">
        <f t="shared" si="8"/>
        <v/>
      </c>
      <c r="Z22" s="21"/>
      <c r="AA22" s="9" t="str">
        <f>IF(A22="","",Parametri!$B$6*Z22)</f>
        <v/>
      </c>
      <c r="AB22" s="16"/>
      <c r="AC22" s="19"/>
      <c r="AD22" s="9" t="str">
        <f>IF(A22="","",AC22*Parametri!$B$6)</f>
        <v/>
      </c>
      <c r="AE22" s="19"/>
      <c r="AF22" s="9" t="str">
        <f>IF(A22="","",AE22*Parametri!$B$7)</f>
        <v/>
      </c>
      <c r="AG22" s="19"/>
      <c r="AH22" s="9" t="str">
        <f>IF(A22="","",AG22*Parametri!$B$8)</f>
        <v/>
      </c>
      <c r="AI22" s="19"/>
      <c r="AJ22" s="20" t="str">
        <f t="shared" si="9"/>
        <v/>
      </c>
      <c r="AK22" s="9" t="str">
        <f t="shared" si="10"/>
        <v/>
      </c>
      <c r="AL22" s="11" t="str">
        <f t="shared" si="11"/>
        <v/>
      </c>
      <c r="AM22" s="20" t="str">
        <f t="shared" si="12"/>
        <v/>
      </c>
      <c r="AN22" s="22" t="str">
        <f t="shared" si="13"/>
        <v/>
      </c>
    </row>
    <row r="23" spans="1:40" x14ac:dyDescent="0.25">
      <c r="A23" s="14"/>
      <c r="B23" s="15"/>
      <c r="C23" s="16"/>
      <c r="D23" s="12"/>
      <c r="E23" s="16"/>
      <c r="F23" s="16"/>
      <c r="G23" s="16"/>
      <c r="H23" s="9" t="str">
        <f t="shared" si="0"/>
        <v/>
      </c>
      <c r="I23" s="17"/>
      <c r="J23" s="18"/>
      <c r="K23" s="18"/>
      <c r="L23" s="19"/>
      <c r="M23" s="19"/>
      <c r="N23" s="19"/>
      <c r="O23" s="10" t="str">
        <f t="shared" si="1"/>
        <v/>
      </c>
      <c r="P23" s="10" t="str">
        <f t="shared" si="2"/>
        <v/>
      </c>
      <c r="Q23" s="10" t="str">
        <f t="shared" si="3"/>
        <v/>
      </c>
      <c r="R23" s="19" t="str">
        <f t="shared" si="4"/>
        <v/>
      </c>
      <c r="S23" s="11" t="str">
        <f t="shared" si="5"/>
        <v/>
      </c>
      <c r="T23" s="20" t="str">
        <f t="shared" si="6"/>
        <v/>
      </c>
      <c r="U23" s="21"/>
      <c r="V23" s="20" t="str">
        <f t="shared" si="7"/>
        <v/>
      </c>
      <c r="W23" s="22" t="str">
        <f>IF(A23="","",IF(T23&gt;Parametri!$B$18,"Overload",IF(T23&lt;Parametri!$B$17,"Underload","Sano")))</f>
        <v/>
      </c>
      <c r="X23" s="11" t="str">
        <f>IF(A23="","",Parametri!$B$9)</f>
        <v/>
      </c>
      <c r="Y23" s="11" t="str">
        <f t="shared" si="8"/>
        <v/>
      </c>
      <c r="Z23" s="21"/>
      <c r="AA23" s="9" t="str">
        <f>IF(A23="","",Parametri!$B$6*Z23)</f>
        <v/>
      </c>
      <c r="AB23" s="16"/>
      <c r="AC23" s="19"/>
      <c r="AD23" s="9" t="str">
        <f>IF(A23="","",AC23*Parametri!$B$6)</f>
        <v/>
      </c>
      <c r="AE23" s="19"/>
      <c r="AF23" s="9" t="str">
        <f>IF(A23="","",AE23*Parametri!$B$7)</f>
        <v/>
      </c>
      <c r="AG23" s="19"/>
      <c r="AH23" s="9" t="str">
        <f>IF(A23="","",AG23*Parametri!$B$8)</f>
        <v/>
      </c>
      <c r="AI23" s="19"/>
      <c r="AJ23" s="20" t="str">
        <f t="shared" si="9"/>
        <v/>
      </c>
      <c r="AK23" s="9" t="str">
        <f t="shared" si="10"/>
        <v/>
      </c>
      <c r="AL23" s="11" t="str">
        <f t="shared" si="11"/>
        <v/>
      </c>
      <c r="AM23" s="20" t="str">
        <f t="shared" si="12"/>
        <v/>
      </c>
      <c r="AN23" s="22" t="str">
        <f t="shared" si="13"/>
        <v/>
      </c>
    </row>
  </sheetData>
  <mergeCells count="7">
    <mergeCell ref="A1:AN1"/>
    <mergeCell ref="C2:H2"/>
    <mergeCell ref="A2:B2"/>
    <mergeCell ref="X2:Y2"/>
    <mergeCell ref="Z2:AN2"/>
    <mergeCell ref="I2:S2"/>
    <mergeCell ref="T2:W2"/>
  </mergeCells>
  <conditionalFormatting sqref="T4:T23">
    <cfRule type="colorScale" priority="8">
      <colorScale>
        <cfvo type="min"/>
        <cfvo type="percentile" val="50"/>
        <cfvo type="max"/>
        <color rgb="FFFFF2CC"/>
        <color rgb="FFC6E0B4"/>
        <color rgb="FFF8CBAD"/>
      </colorScale>
    </cfRule>
  </conditionalFormatting>
  <conditionalFormatting sqref="W4:W23">
    <cfRule type="expression" dxfId="13" priority="1">
      <formula>W4="Overload"</formula>
    </cfRule>
    <cfRule type="expression" dxfId="12" priority="2">
      <formula>W4="Underload"</formula>
    </cfRule>
    <cfRule type="expression" dxfId="11" priority="3">
      <formula>W4="Sano"</formula>
    </cfRule>
  </conditionalFormatting>
  <conditionalFormatting sqref="AN4:AN23">
    <cfRule type="expression" dxfId="9" priority="4">
      <formula>AN4="Moltiplicatrice"</formula>
    </cfRule>
    <cfRule type="expression" dxfId="8" priority="5">
      <formula>AN4="A bassa leva"</formula>
    </cfRule>
    <cfRule type="expression" dxfId="7" priority="6">
      <formula>AN4="Ad alta produttivita"</formula>
    </cfRule>
  </conditionalFormatting>
  <dataValidations count="1">
    <dataValidation type="list" allowBlank="1" error="Seleziona 'Diretto' o 'Indiretto'" prompt="Diretto: output misurabile. Indiretto: supporto (§2.1)" sqref="B4:B23" xr:uid="{00000000-0002-0000-0200-000000000000}">
      <formula1>"Diretto,Indiretto"</formula1>
    </dataValidation>
  </dataValidations>
  <pageMargins left="0.75" right="0.75" top="1" bottom="1" header="0.5" footer="0.5"/>
  <legacy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greaterThan" id="{00000000-000E-0000-0200-000007000000}">
            <xm:f>Parametri!$B$19</xm:f>
            <x14:dxf>
              <font>
                <b/>
                <color rgb="FFC00000"/>
              </font>
              <fill>
                <patternFill patternType="solid">
                  <fgColor rgb="FFF8CBAD"/>
                </patternFill>
              </fill>
            </x14:dxf>
          </x14:cfRule>
          <xm:sqref>AJ4:AJ23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"/>
  <sheetViews>
    <sheetView showGridLines="0" workbookViewId="0">
      <pane xSplit="1" ySplit="3" topLeftCell="B4" activePane="bottomRight" state="frozen"/>
      <selection pane="topRight"/>
      <selection pane="bottomLeft"/>
      <selection pane="bottomRight" sqref="A1:Q1"/>
    </sheetView>
  </sheetViews>
  <sheetFormatPr defaultRowHeight="15" x14ac:dyDescent="0.25"/>
  <cols>
    <col min="1" max="1" width="30" customWidth="1"/>
    <col min="2" max="2" width="11" customWidth="1"/>
    <col min="3" max="6" width="12" customWidth="1"/>
    <col min="7" max="7" width="15" customWidth="1"/>
    <col min="8" max="8" width="10" customWidth="1"/>
    <col min="9" max="9" width="11" customWidth="1"/>
    <col min="10" max="10" width="9" customWidth="1"/>
    <col min="11" max="11" width="12" customWidth="1"/>
    <col min="12" max="14" width="10" customWidth="1"/>
    <col min="15" max="15" width="14" customWidth="1"/>
    <col min="16" max="16" width="16" customWidth="1"/>
    <col min="17" max="17" width="14" customWidth="1"/>
  </cols>
  <sheetData>
    <row r="1" spans="1:17" ht="33.950000000000003" customHeight="1" x14ac:dyDescent="0.25">
      <c r="A1" s="37" t="s">
        <v>115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8" customHeight="1" x14ac:dyDescent="0.25">
      <c r="A2" s="41" t="s">
        <v>116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27.95" customHeight="1" x14ac:dyDescent="0.25">
      <c r="A3" s="13" t="s">
        <v>65</v>
      </c>
      <c r="B3" s="13" t="s">
        <v>66</v>
      </c>
      <c r="C3" s="13" t="s">
        <v>72</v>
      </c>
      <c r="D3" s="13" t="s">
        <v>117</v>
      </c>
      <c r="E3" s="13" t="s">
        <v>118</v>
      </c>
      <c r="F3" s="13" t="s">
        <v>119</v>
      </c>
      <c r="G3" s="13" t="s">
        <v>120</v>
      </c>
      <c r="H3" s="13" t="s">
        <v>121</v>
      </c>
      <c r="I3" s="13" t="s">
        <v>122</v>
      </c>
      <c r="J3" s="13" t="s">
        <v>123</v>
      </c>
      <c r="K3" s="13" t="s">
        <v>124</v>
      </c>
      <c r="L3" s="13" t="s">
        <v>94</v>
      </c>
      <c r="M3" s="13" t="s">
        <v>98</v>
      </c>
      <c r="N3" s="13" t="s">
        <v>96</v>
      </c>
      <c r="O3" s="13" t="s">
        <v>125</v>
      </c>
      <c r="P3" s="13" t="s">
        <v>126</v>
      </c>
      <c r="Q3" s="13" t="s">
        <v>127</v>
      </c>
    </row>
    <row r="4" spans="1:17" x14ac:dyDescent="0.25">
      <c r="A4" s="14" t="s">
        <v>111</v>
      </c>
      <c r="B4" s="23" t="str">
        <f>IFERROR(INDEX(TabellaPersone[Ruolo],MATCH($A4,TabellaPersone[Nome],0)),"")</f>
        <v>Diretto</v>
      </c>
      <c r="C4" s="24">
        <f>IFERROR(INDEX(TabellaPersone[Ci],MATCH($A4,TabellaPersone[Nome],0)),"")</f>
        <v>65700</v>
      </c>
      <c r="D4" s="16">
        <v>8000</v>
      </c>
      <c r="E4" s="16">
        <v>6000</v>
      </c>
      <c r="F4" s="16">
        <v>6000</v>
      </c>
      <c r="G4" s="24">
        <f t="shared" ref="G4:G13" si="0">D4+E4+F4</f>
        <v>20000</v>
      </c>
      <c r="H4" s="19">
        <v>300</v>
      </c>
      <c r="I4" s="12">
        <v>0.6</v>
      </c>
      <c r="J4" s="25">
        <f>Parametri!$B$8</f>
        <v>18.5</v>
      </c>
      <c r="K4" s="24">
        <f t="shared" ref="K4:K13" si="1">H4*(1-I4)*J4</f>
        <v>2220</v>
      </c>
      <c r="L4" s="24">
        <f>IFERROR(INDEX(TabellaPersone[Vsup],MATCH($A4,TabellaPersone[Nome],0)),"")</f>
        <v>2160</v>
      </c>
      <c r="M4" s="24">
        <f>IFERROR(INDEX(TabellaPersone[Vtrain],MATCH($A4,TabellaPersone[Nome],0)),"")</f>
        <v>1110</v>
      </c>
      <c r="N4" s="24">
        <f>IFERROR(INDEX(TabellaPersone[Vcoord],MATCH($A4,TabellaPersone[Nome],0)),"")</f>
        <v>3240</v>
      </c>
      <c r="O4" s="24">
        <f t="shared" ref="O4:O13" si="2">L4+M4+N4</f>
        <v>6510</v>
      </c>
      <c r="P4" s="24">
        <f t="shared" ref="P4:P13" si="3">G4+K4+O4</f>
        <v>28730</v>
      </c>
      <c r="Q4" s="26">
        <f t="shared" ref="Q4:Q13" si="4">IFERROR(P4/C4,"")</f>
        <v>0.43729071537290715</v>
      </c>
    </row>
    <row r="5" spans="1:17" x14ac:dyDescent="0.25">
      <c r="A5" s="14" t="s">
        <v>109</v>
      </c>
      <c r="B5" s="23" t="str">
        <f>IFERROR(INDEX(TabellaPersone[Ruolo],MATCH($A5,TabellaPersone[Nome],0)),"")</f>
        <v>Diretto</v>
      </c>
      <c r="C5" s="24">
        <f>IFERROR(INDEX(TabellaPersone[Ci],MATCH($A5,TabellaPersone[Nome],0)),"")</f>
        <v>55000</v>
      </c>
      <c r="D5" s="16">
        <v>10000</v>
      </c>
      <c r="E5" s="16">
        <v>7000</v>
      </c>
      <c r="F5" s="16">
        <v>7000</v>
      </c>
      <c r="G5" s="24">
        <f t="shared" si="0"/>
        <v>24000</v>
      </c>
      <c r="H5" s="19">
        <v>350</v>
      </c>
      <c r="I5" s="12">
        <v>0.55000000000000004</v>
      </c>
      <c r="J5" s="25">
        <f>Parametri!$B$8</f>
        <v>18.5</v>
      </c>
      <c r="K5" s="24">
        <f t="shared" si="1"/>
        <v>2913.7499999999995</v>
      </c>
      <c r="L5" s="24">
        <f>IFERROR(INDEX(TabellaPersone[Vsup],MATCH($A5,TabellaPersone[Nome],0)),"")</f>
        <v>0</v>
      </c>
      <c r="M5" s="24">
        <f>IFERROR(INDEX(TabellaPersone[Vtrain],MATCH($A5,TabellaPersone[Nome],0)),"")</f>
        <v>3700</v>
      </c>
      <c r="N5" s="24">
        <f>IFERROR(INDEX(TabellaPersone[Vcoord],MATCH($A5,TabellaPersone[Nome],0)),"")</f>
        <v>0</v>
      </c>
      <c r="O5" s="24">
        <f t="shared" si="2"/>
        <v>3700</v>
      </c>
      <c r="P5" s="24">
        <f t="shared" si="3"/>
        <v>30613.75</v>
      </c>
      <c r="Q5" s="26">
        <f t="shared" si="4"/>
        <v>0.55661363636363637</v>
      </c>
    </row>
    <row r="6" spans="1:17" x14ac:dyDescent="0.25">
      <c r="A6" s="14"/>
      <c r="B6" s="23" t="str">
        <f>IFERROR(INDEX(TabellaPersone[Ruolo],MATCH($A6,TabellaPersone[Nome],0)),"")</f>
        <v/>
      </c>
      <c r="C6" s="24" t="str">
        <f>IFERROR(INDEX(TabellaPersone[Ci],MATCH($A6,TabellaPersone[Nome],0)),"")</f>
        <v/>
      </c>
      <c r="D6" s="16"/>
      <c r="E6" s="16"/>
      <c r="F6" s="16"/>
      <c r="G6" s="24">
        <f t="shared" si="0"/>
        <v>0</v>
      </c>
      <c r="H6" s="19"/>
      <c r="I6" s="12"/>
      <c r="J6" s="25">
        <f>Parametri!$B$8</f>
        <v>18.5</v>
      </c>
      <c r="K6" s="24">
        <f t="shared" si="1"/>
        <v>0</v>
      </c>
      <c r="L6" s="24" t="str">
        <f>IFERROR(INDEX(TabellaPersone[Vsup],MATCH($A6,TabellaPersone[Nome],0)),"")</f>
        <v/>
      </c>
      <c r="M6" s="24" t="str">
        <f>IFERROR(INDEX(TabellaPersone[Vtrain],MATCH($A6,TabellaPersone[Nome],0)),"")</f>
        <v/>
      </c>
      <c r="N6" s="24" t="str">
        <f>IFERROR(INDEX(TabellaPersone[Vcoord],MATCH($A6,TabellaPersone[Nome],0)),"")</f>
        <v/>
      </c>
      <c r="O6" s="24" t="e">
        <f t="shared" si="2"/>
        <v>#VALUE!</v>
      </c>
      <c r="P6" s="24" t="e">
        <f t="shared" si="3"/>
        <v>#VALUE!</v>
      </c>
      <c r="Q6" s="26" t="str">
        <f t="shared" si="4"/>
        <v/>
      </c>
    </row>
    <row r="7" spans="1:17" x14ac:dyDescent="0.25">
      <c r="A7" s="14"/>
      <c r="B7" s="23" t="str">
        <f>IFERROR(INDEX(TabellaPersone[Ruolo],MATCH($A7,TabellaPersone[Nome],0)),"")</f>
        <v/>
      </c>
      <c r="C7" s="24" t="str">
        <f>IFERROR(INDEX(TabellaPersone[Ci],MATCH($A7,TabellaPersone[Nome],0)),"")</f>
        <v/>
      </c>
      <c r="D7" s="16"/>
      <c r="E7" s="16"/>
      <c r="F7" s="16"/>
      <c r="G7" s="24">
        <f t="shared" si="0"/>
        <v>0</v>
      </c>
      <c r="H7" s="19"/>
      <c r="I7" s="12"/>
      <c r="J7" s="25">
        <f>Parametri!$B$8</f>
        <v>18.5</v>
      </c>
      <c r="K7" s="24">
        <f t="shared" si="1"/>
        <v>0</v>
      </c>
      <c r="L7" s="24" t="str">
        <f>IFERROR(INDEX(TabellaPersone[Vsup],MATCH($A7,TabellaPersone[Nome],0)),"")</f>
        <v/>
      </c>
      <c r="M7" s="24" t="str">
        <f>IFERROR(INDEX(TabellaPersone[Vtrain],MATCH($A7,TabellaPersone[Nome],0)),"")</f>
        <v/>
      </c>
      <c r="N7" s="24" t="str">
        <f>IFERROR(INDEX(TabellaPersone[Vcoord],MATCH($A7,TabellaPersone[Nome],0)),"")</f>
        <v/>
      </c>
      <c r="O7" s="24" t="e">
        <f t="shared" si="2"/>
        <v>#VALUE!</v>
      </c>
      <c r="P7" s="24" t="e">
        <f t="shared" si="3"/>
        <v>#VALUE!</v>
      </c>
      <c r="Q7" s="26" t="str">
        <f t="shared" si="4"/>
        <v/>
      </c>
    </row>
    <row r="8" spans="1:17" x14ac:dyDescent="0.25">
      <c r="A8" s="14"/>
      <c r="B8" s="23" t="str">
        <f>IFERROR(INDEX(TabellaPersone[Ruolo],MATCH($A8,TabellaPersone[Nome],0)),"")</f>
        <v/>
      </c>
      <c r="C8" s="24" t="str">
        <f>IFERROR(INDEX(TabellaPersone[Ci],MATCH($A8,TabellaPersone[Nome],0)),"")</f>
        <v/>
      </c>
      <c r="D8" s="16"/>
      <c r="E8" s="16"/>
      <c r="F8" s="16"/>
      <c r="G8" s="24">
        <f t="shared" si="0"/>
        <v>0</v>
      </c>
      <c r="H8" s="19"/>
      <c r="I8" s="12"/>
      <c r="J8" s="25">
        <f>Parametri!$B$8</f>
        <v>18.5</v>
      </c>
      <c r="K8" s="24">
        <f t="shared" si="1"/>
        <v>0</v>
      </c>
      <c r="L8" s="24" t="str">
        <f>IFERROR(INDEX(TabellaPersone[Vsup],MATCH($A8,TabellaPersone[Nome],0)),"")</f>
        <v/>
      </c>
      <c r="M8" s="24" t="str">
        <f>IFERROR(INDEX(TabellaPersone[Vtrain],MATCH($A8,TabellaPersone[Nome],0)),"")</f>
        <v/>
      </c>
      <c r="N8" s="24" t="str">
        <f>IFERROR(INDEX(TabellaPersone[Vcoord],MATCH($A8,TabellaPersone[Nome],0)),"")</f>
        <v/>
      </c>
      <c r="O8" s="24" t="e">
        <f t="shared" si="2"/>
        <v>#VALUE!</v>
      </c>
      <c r="P8" s="24" t="e">
        <f t="shared" si="3"/>
        <v>#VALUE!</v>
      </c>
      <c r="Q8" s="26" t="str">
        <f t="shared" si="4"/>
        <v/>
      </c>
    </row>
    <row r="9" spans="1:17" x14ac:dyDescent="0.25">
      <c r="A9" s="14"/>
      <c r="B9" s="23" t="str">
        <f>IFERROR(INDEX(TabellaPersone[Ruolo],MATCH($A9,TabellaPersone[Nome],0)),"")</f>
        <v/>
      </c>
      <c r="C9" s="24" t="str">
        <f>IFERROR(INDEX(TabellaPersone[Ci],MATCH($A9,TabellaPersone[Nome],0)),"")</f>
        <v/>
      </c>
      <c r="D9" s="16"/>
      <c r="E9" s="16"/>
      <c r="F9" s="16"/>
      <c r="G9" s="24">
        <f t="shared" si="0"/>
        <v>0</v>
      </c>
      <c r="H9" s="19"/>
      <c r="I9" s="12"/>
      <c r="J9" s="25">
        <f>Parametri!$B$8</f>
        <v>18.5</v>
      </c>
      <c r="K9" s="24">
        <f t="shared" si="1"/>
        <v>0</v>
      </c>
      <c r="L9" s="24" t="str">
        <f>IFERROR(INDEX(TabellaPersone[Vsup],MATCH($A9,TabellaPersone[Nome],0)),"")</f>
        <v/>
      </c>
      <c r="M9" s="24" t="str">
        <f>IFERROR(INDEX(TabellaPersone[Vtrain],MATCH($A9,TabellaPersone[Nome],0)),"")</f>
        <v/>
      </c>
      <c r="N9" s="24" t="str">
        <f>IFERROR(INDEX(TabellaPersone[Vcoord],MATCH($A9,TabellaPersone[Nome],0)),"")</f>
        <v/>
      </c>
      <c r="O9" s="24" t="e">
        <f t="shared" si="2"/>
        <v>#VALUE!</v>
      </c>
      <c r="P9" s="24" t="e">
        <f t="shared" si="3"/>
        <v>#VALUE!</v>
      </c>
      <c r="Q9" s="26" t="str">
        <f t="shared" si="4"/>
        <v/>
      </c>
    </row>
    <row r="10" spans="1:17" x14ac:dyDescent="0.25">
      <c r="A10" s="14"/>
      <c r="B10" s="23" t="str">
        <f>IFERROR(INDEX(TabellaPersone[Ruolo],MATCH($A10,TabellaPersone[Nome],0)),"")</f>
        <v/>
      </c>
      <c r="C10" s="24" t="str">
        <f>IFERROR(INDEX(TabellaPersone[Ci],MATCH($A10,TabellaPersone[Nome],0)),"")</f>
        <v/>
      </c>
      <c r="D10" s="16"/>
      <c r="E10" s="16"/>
      <c r="F10" s="16"/>
      <c r="G10" s="24">
        <f t="shared" si="0"/>
        <v>0</v>
      </c>
      <c r="H10" s="19"/>
      <c r="I10" s="12"/>
      <c r="J10" s="25">
        <f>Parametri!$B$8</f>
        <v>18.5</v>
      </c>
      <c r="K10" s="24">
        <f t="shared" si="1"/>
        <v>0</v>
      </c>
      <c r="L10" s="24" t="str">
        <f>IFERROR(INDEX(TabellaPersone[Vsup],MATCH($A10,TabellaPersone[Nome],0)),"")</f>
        <v/>
      </c>
      <c r="M10" s="24" t="str">
        <f>IFERROR(INDEX(TabellaPersone[Vtrain],MATCH($A10,TabellaPersone[Nome],0)),"")</f>
        <v/>
      </c>
      <c r="N10" s="24" t="str">
        <f>IFERROR(INDEX(TabellaPersone[Vcoord],MATCH($A10,TabellaPersone[Nome],0)),"")</f>
        <v/>
      </c>
      <c r="O10" s="24" t="e">
        <f t="shared" si="2"/>
        <v>#VALUE!</v>
      </c>
      <c r="P10" s="24" t="e">
        <f t="shared" si="3"/>
        <v>#VALUE!</v>
      </c>
      <c r="Q10" s="26" t="str">
        <f t="shared" si="4"/>
        <v/>
      </c>
    </row>
    <row r="11" spans="1:17" x14ac:dyDescent="0.25">
      <c r="A11" s="14"/>
      <c r="B11" s="23" t="str">
        <f>IFERROR(INDEX(TabellaPersone[Ruolo],MATCH($A11,TabellaPersone[Nome],0)),"")</f>
        <v/>
      </c>
      <c r="C11" s="24" t="str">
        <f>IFERROR(INDEX(TabellaPersone[Ci],MATCH($A11,TabellaPersone[Nome],0)),"")</f>
        <v/>
      </c>
      <c r="D11" s="16"/>
      <c r="E11" s="16"/>
      <c r="F11" s="16"/>
      <c r="G11" s="24">
        <f t="shared" si="0"/>
        <v>0</v>
      </c>
      <c r="H11" s="19"/>
      <c r="I11" s="12"/>
      <c r="J11" s="25">
        <f>Parametri!$B$8</f>
        <v>18.5</v>
      </c>
      <c r="K11" s="24">
        <f t="shared" si="1"/>
        <v>0</v>
      </c>
      <c r="L11" s="24" t="str">
        <f>IFERROR(INDEX(TabellaPersone[Vsup],MATCH($A11,TabellaPersone[Nome],0)),"")</f>
        <v/>
      </c>
      <c r="M11" s="24" t="str">
        <f>IFERROR(INDEX(TabellaPersone[Vtrain],MATCH($A11,TabellaPersone[Nome],0)),"")</f>
        <v/>
      </c>
      <c r="N11" s="24" t="str">
        <f>IFERROR(INDEX(TabellaPersone[Vcoord],MATCH($A11,TabellaPersone[Nome],0)),"")</f>
        <v/>
      </c>
      <c r="O11" s="24" t="e">
        <f t="shared" si="2"/>
        <v>#VALUE!</v>
      </c>
      <c r="P11" s="24" t="e">
        <f t="shared" si="3"/>
        <v>#VALUE!</v>
      </c>
      <c r="Q11" s="26" t="str">
        <f t="shared" si="4"/>
        <v/>
      </c>
    </row>
    <row r="12" spans="1:17" x14ac:dyDescent="0.25">
      <c r="A12" s="14"/>
      <c r="B12" s="23" t="str">
        <f>IFERROR(INDEX(TabellaPersone[Ruolo],MATCH($A12,TabellaPersone[Nome],0)),"")</f>
        <v/>
      </c>
      <c r="C12" s="24" t="str">
        <f>IFERROR(INDEX(TabellaPersone[Ci],MATCH($A12,TabellaPersone[Nome],0)),"")</f>
        <v/>
      </c>
      <c r="D12" s="16"/>
      <c r="E12" s="16"/>
      <c r="F12" s="16"/>
      <c r="G12" s="24">
        <f t="shared" si="0"/>
        <v>0</v>
      </c>
      <c r="H12" s="19"/>
      <c r="I12" s="12"/>
      <c r="J12" s="25">
        <f>Parametri!$B$8</f>
        <v>18.5</v>
      </c>
      <c r="K12" s="24">
        <f t="shared" si="1"/>
        <v>0</v>
      </c>
      <c r="L12" s="24" t="str">
        <f>IFERROR(INDEX(TabellaPersone[Vsup],MATCH($A12,TabellaPersone[Nome],0)),"")</f>
        <v/>
      </c>
      <c r="M12" s="24" t="str">
        <f>IFERROR(INDEX(TabellaPersone[Vtrain],MATCH($A12,TabellaPersone[Nome],0)),"")</f>
        <v/>
      </c>
      <c r="N12" s="24" t="str">
        <f>IFERROR(INDEX(TabellaPersone[Vcoord],MATCH($A12,TabellaPersone[Nome],0)),"")</f>
        <v/>
      </c>
      <c r="O12" s="24" t="e">
        <f t="shared" si="2"/>
        <v>#VALUE!</v>
      </c>
      <c r="P12" s="24" t="e">
        <f t="shared" si="3"/>
        <v>#VALUE!</v>
      </c>
      <c r="Q12" s="26" t="str">
        <f t="shared" si="4"/>
        <v/>
      </c>
    </row>
    <row r="13" spans="1:17" x14ac:dyDescent="0.25">
      <c r="A13" s="14"/>
      <c r="B13" s="23" t="str">
        <f>IFERROR(INDEX(TabellaPersone[Ruolo],MATCH($A13,TabellaPersone[Nome],0)),"")</f>
        <v/>
      </c>
      <c r="C13" s="24" t="str">
        <f>IFERROR(INDEX(TabellaPersone[Ci],MATCH($A13,TabellaPersone[Nome],0)),"")</f>
        <v/>
      </c>
      <c r="D13" s="16"/>
      <c r="E13" s="16"/>
      <c r="F13" s="16"/>
      <c r="G13" s="24">
        <f t="shared" si="0"/>
        <v>0</v>
      </c>
      <c r="H13" s="19"/>
      <c r="I13" s="12"/>
      <c r="J13" s="25">
        <f>Parametri!$B$8</f>
        <v>18.5</v>
      </c>
      <c r="K13" s="24">
        <f t="shared" si="1"/>
        <v>0</v>
      </c>
      <c r="L13" s="24" t="str">
        <f>IFERROR(INDEX(TabellaPersone[Vsup],MATCH($A13,TabellaPersone[Nome],0)),"")</f>
        <v/>
      </c>
      <c r="M13" s="24" t="str">
        <f>IFERROR(INDEX(TabellaPersone[Vtrain],MATCH($A13,TabellaPersone[Nome],0)),"")</f>
        <v/>
      </c>
      <c r="N13" s="24" t="str">
        <f>IFERROR(INDEX(TabellaPersone[Vcoord],MATCH($A13,TabellaPersone[Nome],0)),"")</f>
        <v/>
      </c>
      <c r="O13" s="24" t="e">
        <f t="shared" si="2"/>
        <v>#VALUE!</v>
      </c>
      <c r="P13" s="24" t="e">
        <f t="shared" si="3"/>
        <v>#VALUE!</v>
      </c>
      <c r="Q13" s="26" t="str">
        <f t="shared" si="4"/>
        <v/>
      </c>
    </row>
  </sheetData>
  <mergeCells count="2">
    <mergeCell ref="A2:Q2"/>
    <mergeCell ref="A1:Q1"/>
  </mergeCells>
  <conditionalFormatting sqref="Q4:Q13">
    <cfRule type="colorScale" priority="1">
      <colorScale>
        <cfvo type="min"/>
        <cfvo type="max"/>
        <color rgb="FFC6E0B4"/>
        <color rgb="FFF8CBAD"/>
      </colorScale>
    </cfRule>
  </conditionalFormatting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Persone!$A$4:$A$23</xm:f>
          </x14:formula1>
          <xm:sqref>A4:A13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1"/>
  <sheetViews>
    <sheetView showGridLines="0" workbookViewId="0">
      <selection activeCell="B4" sqref="B4:C4"/>
    </sheetView>
  </sheetViews>
  <sheetFormatPr defaultRowHeight="15" x14ac:dyDescent="0.25"/>
  <cols>
    <col min="1" max="1" width="34" customWidth="1"/>
    <col min="2" max="2" width="20" customWidth="1"/>
    <col min="3" max="3" width="4" customWidth="1"/>
    <col min="4" max="4" width="34" customWidth="1"/>
    <col min="5" max="5" width="20" customWidth="1"/>
  </cols>
  <sheetData>
    <row r="1" spans="1:5" ht="33.950000000000003" customHeight="1" x14ac:dyDescent="0.25">
      <c r="A1" s="37" t="s">
        <v>128</v>
      </c>
      <c r="B1" s="38"/>
      <c r="C1" s="38"/>
      <c r="D1" s="38"/>
      <c r="E1" s="38"/>
    </row>
    <row r="2" spans="1:5" ht="18" customHeight="1" x14ac:dyDescent="0.25">
      <c r="A2" s="41" t="s">
        <v>129</v>
      </c>
      <c r="B2" s="38"/>
      <c r="C2" s="38"/>
      <c r="D2" s="38"/>
      <c r="E2" s="38"/>
    </row>
    <row r="4" spans="1:5" ht="21.95" customHeight="1" x14ac:dyDescent="0.25">
      <c r="A4" s="27" t="s">
        <v>130</v>
      </c>
      <c r="B4" s="45" t="s">
        <v>110</v>
      </c>
      <c r="C4" s="46"/>
    </row>
    <row r="6" spans="1:5" ht="21.95" customHeight="1" x14ac:dyDescent="0.25">
      <c r="A6" s="39" t="s">
        <v>131</v>
      </c>
      <c r="B6" s="40"/>
      <c r="C6" s="40"/>
      <c r="D6" s="40"/>
      <c r="E6" s="40"/>
    </row>
    <row r="7" spans="1:5" x14ac:dyDescent="0.25">
      <c r="A7" s="7" t="s">
        <v>66</v>
      </c>
      <c r="B7" s="23" t="str">
        <f>IFERROR(INDEX(TabellaPersone[Ruolo],MATCH($B$4,TabellaPersone[Nome],0)),"")</f>
        <v>Diretto</v>
      </c>
    </row>
    <row r="8" spans="1:5" x14ac:dyDescent="0.25">
      <c r="A8" s="7" t="s">
        <v>67</v>
      </c>
      <c r="B8" s="24">
        <f>IFERROR(INDEX(TabellaPersone[RAL],MATCH($B$4,TabellaPersone[Nome],0)),"")</f>
        <v>28000</v>
      </c>
    </row>
    <row r="9" spans="1:5" x14ac:dyDescent="0.25">
      <c r="A9" s="7" t="s">
        <v>132</v>
      </c>
      <c r="B9" s="24">
        <f>IFERROR(INDEX(TabellaPersone[Ci],MATCH($B$4,TabellaPersone[Nome],0)),"")</f>
        <v>37440</v>
      </c>
    </row>
    <row r="10" spans="1:5" x14ac:dyDescent="0.25">
      <c r="A10" s="7" t="s">
        <v>133</v>
      </c>
      <c r="B10" s="25">
        <f>IFERROR(INDEX(TabellaPersone[Ch],MATCH($B$4,TabellaPersone[Nome],0)),"")</f>
        <v>27.130434782608695</v>
      </c>
    </row>
    <row r="11" spans="1:5" x14ac:dyDescent="0.25">
      <c r="A11" s="7" t="s">
        <v>134</v>
      </c>
      <c r="B11" s="25">
        <f>IFERROR(INDEX(TabellaPersone[CFL],MATCH($B$4,TabellaPersone[Nome],0)),"")</f>
        <v>33.130434782608695</v>
      </c>
    </row>
    <row r="13" spans="1:5" ht="21.95" customHeight="1" x14ac:dyDescent="0.25">
      <c r="A13" s="39" t="s">
        <v>135</v>
      </c>
      <c r="B13" s="40"/>
      <c r="C13" s="40"/>
      <c r="D13" s="40"/>
      <c r="E13" s="40"/>
    </row>
    <row r="14" spans="1:5" x14ac:dyDescent="0.25">
      <c r="A14" s="7" t="s">
        <v>136</v>
      </c>
      <c r="B14" s="28">
        <f>IFERROR(INDEX(TabellaPersone[Hproduttive],MATCH($B$4,TabellaPersone[Nome],0)),"")</f>
        <v>1380</v>
      </c>
    </row>
    <row r="15" spans="1:5" x14ac:dyDescent="0.25">
      <c r="A15" s="7" t="s">
        <v>137</v>
      </c>
      <c r="B15" s="26">
        <f>IFERROR(INDEX(TabellaPersone[U],MATCH($B$4,TabellaPersone[Nome],0)),"")</f>
        <v>1</v>
      </c>
    </row>
    <row r="16" spans="1:5" x14ac:dyDescent="0.25">
      <c r="A16" s="7" t="s">
        <v>138</v>
      </c>
      <c r="B16" s="29">
        <f>IFERROR(INDEX(TabellaPersone[P],MATCH($B$4,TabellaPersone[Nome],0)),"")</f>
        <v>0.95</v>
      </c>
    </row>
    <row r="17" spans="1:5" x14ac:dyDescent="0.25">
      <c r="A17" s="7" t="s">
        <v>139</v>
      </c>
      <c r="B17" s="26">
        <f>IFERROR(INDEX(TabellaPersone[Ueff],MATCH($B$4,TabellaPersone[Nome],0)),"")</f>
        <v>0.95</v>
      </c>
    </row>
    <row r="18" spans="1:5" x14ac:dyDescent="0.25">
      <c r="A18" s="7" t="s">
        <v>140</v>
      </c>
      <c r="B18" s="23" t="str">
        <f>IFERROR(INDEX(TabellaPersone[StatoSaturazione],MATCH($B$4,TabellaPersone[Nome],0)),"")</f>
        <v>Sano</v>
      </c>
    </row>
    <row r="20" spans="1:5" ht="21.95" customHeight="1" x14ac:dyDescent="0.25">
      <c r="A20" s="39" t="s">
        <v>141</v>
      </c>
      <c r="B20" s="40"/>
      <c r="C20" s="40"/>
      <c r="D20" s="40"/>
      <c r="E20" s="40"/>
    </row>
    <row r="21" spans="1:5" x14ac:dyDescent="0.25">
      <c r="A21" s="7" t="s">
        <v>142</v>
      </c>
      <c r="B21" s="29">
        <f>IFERROR(INDEX(TabellaPersone[s],MATCH($B$4,TabellaPersone[Nome],0)),"")</f>
        <v>0.15</v>
      </c>
    </row>
    <row r="22" spans="1:5" x14ac:dyDescent="0.25">
      <c r="A22" s="7" t="s">
        <v>143</v>
      </c>
      <c r="B22" s="24">
        <f>IFERROR(INDEX(TabellaPersone[CostoSup],MATCH($B$4,TabellaPersone[Nome],0)),"")</f>
        <v>2.6999999999999997</v>
      </c>
    </row>
    <row r="23" spans="1:5" x14ac:dyDescent="0.25">
      <c r="A23" s="7" t="s">
        <v>144</v>
      </c>
      <c r="B23" s="24">
        <f>IFERROR(INDEX(TabellaPersone[Ctrain],MATCH($B$4,TabellaPersone[Nome],0)),"")</f>
        <v>0</v>
      </c>
    </row>
    <row r="24" spans="1:5" x14ac:dyDescent="0.25">
      <c r="A24" s="7" t="s">
        <v>145</v>
      </c>
      <c r="B24" s="24">
        <f>IFERROR(INDEX(TabellaPersone[Vsup],MATCH($B$4,TabellaPersone[Nome],0)),"")</f>
        <v>0</v>
      </c>
    </row>
    <row r="25" spans="1:5" x14ac:dyDescent="0.25">
      <c r="A25" s="7" t="s">
        <v>146</v>
      </c>
      <c r="B25" s="24">
        <f>IFERROR(INDEX(TabellaPersone[Vcoord],MATCH($B$4,TabellaPersone[Nome],0)),"")</f>
        <v>0</v>
      </c>
    </row>
    <row r="26" spans="1:5" x14ac:dyDescent="0.25">
      <c r="A26" s="7" t="s">
        <v>147</v>
      </c>
      <c r="B26" s="24">
        <f>IFERROR(INDEX(TabellaPersone[Vtrain],MATCH($B$4,TabellaPersone[Nome],0)),"")</f>
        <v>0</v>
      </c>
    </row>
    <row r="27" spans="1:5" x14ac:dyDescent="0.25">
      <c r="A27" s="7" t="s">
        <v>148</v>
      </c>
      <c r="B27" s="26">
        <f>IFERROR(INDEX(TabellaPersone[ML],MATCH($B$4,TabellaPersone[Nome],0)),"")</f>
        <v>5.4054054054054057E-2</v>
      </c>
    </row>
    <row r="28" spans="1:5" x14ac:dyDescent="0.25">
      <c r="A28" s="7" t="s">
        <v>149</v>
      </c>
      <c r="B28" s="26">
        <f>IFERROR(INDEX(TabellaPersone[ILind],MATCH($B$4,TabellaPersone[Nome],0)),"")</f>
        <v>0</v>
      </c>
    </row>
    <row r="29" spans="1:5" x14ac:dyDescent="0.25">
      <c r="A29" s="7" t="s">
        <v>104</v>
      </c>
      <c r="B29" s="23" t="str">
        <f>IFERROR(INDEX(TabellaPersone[Profilo],MATCH($B$4,TabellaPersone[Nome],0)),"")</f>
        <v>A bassa leva</v>
      </c>
    </row>
    <row r="30" spans="1:5" x14ac:dyDescent="0.25">
      <c r="A30" s="7" t="s">
        <v>150</v>
      </c>
      <c r="B30" s="24">
        <f>IFERROR(INDEX(TabellaPersone[Cnet],MATCH($B$4,TabellaPersone[Nome],0)),"")</f>
        <v>37442.699999999997</v>
      </c>
    </row>
    <row r="31" spans="1:5" x14ac:dyDescent="0.25">
      <c r="A31" s="7" t="s">
        <v>151</v>
      </c>
      <c r="B31" s="25">
        <f>IFERROR(INDEX(TabellaPersone[Ceq],MATCH($B$4,TabellaPersone[Nome],0)),"")</f>
        <v>28.5604118993135</v>
      </c>
    </row>
    <row r="33" spans="1:5" ht="21.95" customHeight="1" x14ac:dyDescent="0.25">
      <c r="A33" s="39" t="s">
        <v>152</v>
      </c>
      <c r="B33" s="40"/>
      <c r="C33" s="40"/>
      <c r="D33" s="40"/>
      <c r="E33" s="40"/>
    </row>
    <row r="34" spans="1:5" ht="33.950000000000003" customHeight="1" x14ac:dyDescent="0.25">
      <c r="A34" s="44" t="str">
        <f>"Profilo: " &amp; B29 &amp; ". " &amp; IF(B29="Moltiplicatrice","Genera valore organizzativo per gli altri: il costo equivalente ("&amp;TEXT(B31,"0.00")&amp;" €/h) e inferiore al costo pieno ("&amp;TEXT(B11,"0.00")&amp;" €/h).",IF(B29="A bassa leva","Il costo equivalente ("&amp;TEXT(B31,"0.00")&amp;" €/h) e superiore al costo orario pieno: richiede piu supervisione/formazione di quanta ne fornisca.",IF(B29="Ad alta produttivita","Produce piu della media a parita di costo, ma non genera ancora valore organizzativo misurabile per altri.","Produce e costa in linea con il costo orario pieno.")))</f>
        <v>Profilo: A bassa leva. Il costo equivalente (28.56 €/h) e superiore al costo orario pieno: richiede piu supervisione/formazione di quanta ne fornisca.</v>
      </c>
      <c r="B34" s="36"/>
      <c r="C34" s="36"/>
      <c r="D34" s="36"/>
      <c r="E34" s="36"/>
    </row>
    <row r="35" spans="1:5" ht="27.95" customHeight="1" x14ac:dyDescent="0.25">
      <c r="A35" s="44" t="str">
        <f>IF(B27&gt;Parametri!$B$19,"Attenzione: Management Load oltre la soglia critica — rischio di collo di bottiglia gestionale.","Management Load nella norma.")</f>
        <v>Management Load nella norma.</v>
      </c>
      <c r="B35" s="36"/>
      <c r="C35" s="36"/>
      <c r="D35" s="36"/>
      <c r="E35" s="36"/>
    </row>
    <row r="36" spans="1:5" ht="27.95" customHeight="1" x14ac:dyDescent="0.25">
      <c r="A36" s="44" t="str">
        <f>IF(B18="Overload","Attenzione: la persona e in overload — rischio di calo di produttivita nel tempo (logoramento, §2.10.3.1).",IF(B18="Underload","Capacita pagata non pienamente sfruttata: valutare se e una scelta di pianificazione.","Utilizzo nella norma (range sano)."))</f>
        <v>Utilizzo nella norma (range sano).</v>
      </c>
      <c r="B36" s="36"/>
      <c r="C36" s="36"/>
      <c r="D36" s="36"/>
      <c r="E36" s="36"/>
    </row>
    <row r="38" spans="1:5" ht="21.95" customHeight="1" x14ac:dyDescent="0.25">
      <c r="A38" s="39" t="s">
        <v>153</v>
      </c>
      <c r="B38" s="40"/>
      <c r="C38" s="40"/>
      <c r="D38" s="40"/>
      <c r="E38" s="40"/>
    </row>
    <row r="39" spans="1:5" x14ac:dyDescent="0.25">
      <c r="A39" s="30" t="s">
        <v>154</v>
      </c>
      <c r="B39" s="31">
        <f>IFERROR(INDEX(TabellaPersone[Ch],MATCH($B$4,TabellaPersone[Nome],0)),"")</f>
        <v>27.130434782608695</v>
      </c>
    </row>
    <row r="40" spans="1:5" x14ac:dyDescent="0.25">
      <c r="A40" s="30" t="s">
        <v>155</v>
      </c>
      <c r="B40" s="31">
        <f>IFERROR(INDEX(TabellaPersone[CFL],MATCH($B$4,TabellaPersone[Nome],0)),"")</f>
        <v>33.130434782608695</v>
      </c>
    </row>
    <row r="41" spans="1:5" x14ac:dyDescent="0.25">
      <c r="A41" s="30" t="s">
        <v>156</v>
      </c>
      <c r="B41" s="31">
        <f>IFERROR(INDEX(TabellaPersone[Ceq],MATCH($B$4,TabellaPersone[Nome],0)),"")</f>
        <v>28.5604118993135</v>
      </c>
    </row>
  </sheetData>
  <mergeCells count="11">
    <mergeCell ref="A1:E1"/>
    <mergeCell ref="A13:E13"/>
    <mergeCell ref="A36:E36"/>
    <mergeCell ref="A6:E6"/>
    <mergeCell ref="B4:C4"/>
    <mergeCell ref="A34:E34"/>
    <mergeCell ref="A35:E35"/>
    <mergeCell ref="A20:E20"/>
    <mergeCell ref="A38:E38"/>
    <mergeCell ref="A2:E2"/>
    <mergeCell ref="A33:E33"/>
  </mergeCells>
  <conditionalFormatting sqref="B18">
    <cfRule type="expression" dxfId="6" priority="1">
      <formula>B18="Overload"</formula>
    </cfRule>
    <cfRule type="expression" dxfId="5" priority="2">
      <formula>B18="Underload"</formula>
    </cfRule>
    <cfRule type="expression" dxfId="4" priority="3">
      <formula>B18="Sano"</formula>
    </cfRule>
  </conditionalFormatting>
  <conditionalFormatting sqref="B29">
    <cfRule type="expression" dxfId="2" priority="5">
      <formula>B29="Moltiplicatrice"</formula>
    </cfRule>
    <cfRule type="expression" dxfId="1" priority="6">
      <formula>B29="A bassa leva"</formula>
    </cfRule>
    <cfRule type="expression" dxfId="0" priority="7">
      <formula>B29="Ad alta produttivita"</formula>
    </cfRule>
  </conditionalFormatting>
  <pageMargins left="0.75" right="0.75" top="1" bottom="1" header="0.5" footer="0.5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greaterThan" id="{00000000-000E-0000-0400-000004000000}">
            <xm:f>Parametri!$B$19</xm:f>
            <x14:dxf>
              <font>
                <b/>
                <color rgb="FFC00000"/>
              </font>
              <fill>
                <patternFill patternType="solid">
                  <fgColor rgb="FFF8CBAD"/>
                </patternFill>
              </fill>
            </x14:dxf>
          </x14:cfRule>
          <xm:sqref>B27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error="Seleziona una persona presente nella tabella del foglio 'Persone'" xr:uid="{00000000-0002-0000-0400-000000000000}">
          <x14:formula1>
            <xm:f>Persone!$A$4:$A$23</xm:f>
          </x14:formula1>
          <xm:sqref>B4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showGridLines="0" topLeftCell="A36" workbookViewId="0">
      <selection sqref="A1:E1"/>
    </sheetView>
  </sheetViews>
  <sheetFormatPr defaultRowHeight="15" x14ac:dyDescent="0.25"/>
  <cols>
    <col min="1" max="1" width="38" customWidth="1"/>
    <col min="2" max="2" width="16" customWidth="1"/>
    <col min="3" max="3" width="4" customWidth="1"/>
    <col min="4" max="4" width="38" customWidth="1"/>
    <col min="5" max="5" width="16" customWidth="1"/>
  </cols>
  <sheetData>
    <row r="1" spans="1:5" ht="33.950000000000003" customHeight="1" x14ac:dyDescent="0.25">
      <c r="A1" s="37" t="s">
        <v>12</v>
      </c>
      <c r="B1" s="38"/>
      <c r="C1" s="38"/>
      <c r="D1" s="38"/>
      <c r="E1" s="38"/>
    </row>
    <row r="2" spans="1:5" ht="18" customHeight="1" x14ac:dyDescent="0.25">
      <c r="A2" s="41" t="s">
        <v>157</v>
      </c>
      <c r="B2" s="38"/>
      <c r="C2" s="38"/>
      <c r="D2" s="38"/>
      <c r="E2" s="38"/>
    </row>
    <row r="4" spans="1:5" ht="21.95" customHeight="1" x14ac:dyDescent="0.25">
      <c r="A4" s="39" t="s">
        <v>158</v>
      </c>
      <c r="B4" s="40"/>
      <c r="C4" s="40"/>
      <c r="D4" s="40"/>
      <c r="E4" s="40"/>
    </row>
    <row r="5" spans="1:5" ht="26.1" customHeight="1" x14ac:dyDescent="0.25">
      <c r="A5" s="32" t="s">
        <v>159</v>
      </c>
      <c r="B5" s="29">
        <f>IFERROR(COUNTIF(TabellaPersone[Ruolo],"Diretto")/COUNTIF(TabellaPersone[Ruolo],"Indiretto"),"n/d")</f>
        <v>3</v>
      </c>
      <c r="C5" s="47" t="s">
        <v>160</v>
      </c>
      <c r="D5" s="36"/>
      <c r="E5" s="36"/>
    </row>
    <row r="6" spans="1:5" ht="26.1" customHeight="1" x14ac:dyDescent="0.25">
      <c r="A6" s="32" t="s">
        <v>161</v>
      </c>
      <c r="B6" s="26">
        <f>IFERROR(AVERAGE(TabellaPersone[Ueff]),"")</f>
        <v>1.04375</v>
      </c>
      <c r="C6" s="47" t="s">
        <v>162</v>
      </c>
      <c r="D6" s="36"/>
      <c r="E6" s="36"/>
    </row>
    <row r="7" spans="1:5" ht="26.1" customHeight="1" x14ac:dyDescent="0.25">
      <c r="A7" s="32" t="s">
        <v>163</v>
      </c>
      <c r="B7" s="26">
        <f>IFERROR(AVERAGE(TabellaPersone[ML]),"")</f>
        <v>2.159844541111032E-2</v>
      </c>
      <c r="C7" s="47" t="s">
        <v>164</v>
      </c>
      <c r="D7" s="36"/>
      <c r="E7" s="36"/>
    </row>
    <row r="8" spans="1:5" ht="26.1" customHeight="1" x14ac:dyDescent="0.25">
      <c r="A8" s="32" t="s">
        <v>165</v>
      </c>
      <c r="B8" s="33">
        <f>COUNTIF(TabellaPersone[ML],"&gt;"&amp;Parametri!$B$19)</f>
        <v>0</v>
      </c>
      <c r="C8" s="47" t="s">
        <v>166</v>
      </c>
      <c r="D8" s="36"/>
      <c r="E8" s="36"/>
    </row>
    <row r="9" spans="1:5" ht="26.1" customHeight="1" x14ac:dyDescent="0.25">
      <c r="A9" s="32" t="s">
        <v>167</v>
      </c>
      <c r="B9" s="29">
        <f>IFERROR(AVERAGE(TabellaPersone[P]),"")</f>
        <v>1.04375</v>
      </c>
      <c r="C9" s="47" t="s">
        <v>168</v>
      </c>
      <c r="D9" s="36"/>
      <c r="E9" s="36"/>
    </row>
    <row r="10" spans="1:5" ht="26.1" customHeight="1" x14ac:dyDescent="0.25">
      <c r="A10" s="32" t="s">
        <v>169</v>
      </c>
      <c r="B10" s="26">
        <f>IFERROR((SUM(TabellaPersone[Vsup])+SUM(TabellaPersone[Vtrain])+SUM(TabellaPersone[Vcoord]))/SUM(TabellaPersone[Ci]),"")</f>
        <v>2.6241389945512492E-2</v>
      </c>
      <c r="C10" s="47" t="s">
        <v>170</v>
      </c>
      <c r="D10" s="36"/>
      <c r="E10" s="36"/>
    </row>
    <row r="11" spans="1:5" ht="26.1" customHeight="1" x14ac:dyDescent="0.25">
      <c r="A11" s="32" t="s">
        <v>171</v>
      </c>
      <c r="B11" s="26" t="str">
        <f>IFERROR(SUM(TabellaTurnover[CostoTurnoverTotale])/SUM(TabellaPersone[Ci]),"")</f>
        <v/>
      </c>
      <c r="C11" s="47" t="s">
        <v>172</v>
      </c>
      <c r="D11" s="36"/>
      <c r="E11" s="36"/>
    </row>
    <row r="13" spans="1:5" ht="21.95" customHeight="1" x14ac:dyDescent="0.25">
      <c r="A13" s="39" t="s">
        <v>173</v>
      </c>
      <c r="B13" s="40"/>
      <c r="C13" s="40"/>
      <c r="D13" s="40"/>
      <c r="E13" s="40"/>
    </row>
    <row r="14" spans="1:5" ht="26.1" customHeight="1" x14ac:dyDescent="0.25">
      <c r="A14" s="32" t="s">
        <v>174</v>
      </c>
      <c r="B14" s="33">
        <f>COUNTA(TabellaPersone[Nome])</f>
        <v>8</v>
      </c>
      <c r="C14" s="47"/>
      <c r="D14" s="36"/>
      <c r="E14" s="36"/>
    </row>
    <row r="15" spans="1:5" ht="26.1" customHeight="1" x14ac:dyDescent="0.25">
      <c r="A15" s="32" t="s">
        <v>175</v>
      </c>
      <c r="B15" s="33">
        <f>COUNTIF(TabellaPersone[Ruolo],"Diretto")</f>
        <v>6</v>
      </c>
      <c r="C15" s="47"/>
      <c r="D15" s="36"/>
      <c r="E15" s="36"/>
    </row>
    <row r="16" spans="1:5" ht="26.1" customHeight="1" x14ac:dyDescent="0.25">
      <c r="A16" s="32" t="s">
        <v>176</v>
      </c>
      <c r="B16" s="33">
        <f>COUNTIF(TabellaPersone[Ruolo],"Indiretto")</f>
        <v>2</v>
      </c>
      <c r="C16" s="47"/>
      <c r="D16" s="36"/>
      <c r="E16" s="36"/>
    </row>
    <row r="18" spans="1:5" ht="21.95" customHeight="1" x14ac:dyDescent="0.25">
      <c r="A18" s="39" t="s">
        <v>177</v>
      </c>
      <c r="B18" s="40"/>
      <c r="C18" s="40"/>
      <c r="D18" s="40"/>
      <c r="E18" s="40"/>
    </row>
  </sheetData>
  <mergeCells count="15">
    <mergeCell ref="A18:E18"/>
    <mergeCell ref="C6:E6"/>
    <mergeCell ref="C10:E10"/>
    <mergeCell ref="A2:E2"/>
    <mergeCell ref="C8:E8"/>
    <mergeCell ref="C9:E9"/>
    <mergeCell ref="A1:E1"/>
    <mergeCell ref="A13:E13"/>
    <mergeCell ref="C7:E7"/>
    <mergeCell ref="C16:E16"/>
    <mergeCell ref="A4:E4"/>
    <mergeCell ref="C11:E11"/>
    <mergeCell ref="C14:E14"/>
    <mergeCell ref="C5:E5"/>
    <mergeCell ref="C15:E15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7"/>
  <sheetViews>
    <sheetView showGridLines="0" topLeftCell="A31" workbookViewId="0">
      <selection sqref="A1:C1"/>
    </sheetView>
  </sheetViews>
  <sheetFormatPr defaultRowHeight="15" x14ac:dyDescent="0.25"/>
  <cols>
    <col min="1" max="1" width="16" customWidth="1"/>
    <col min="2" max="2" width="60" customWidth="1"/>
    <col min="3" max="3" width="45" customWidth="1"/>
  </cols>
  <sheetData>
    <row r="1" spans="1:3" ht="33.950000000000003" customHeight="1" x14ac:dyDescent="0.25">
      <c r="A1" s="37" t="s">
        <v>14</v>
      </c>
      <c r="B1" s="38"/>
      <c r="C1" s="38"/>
    </row>
    <row r="2" spans="1:3" ht="18" customHeight="1" x14ac:dyDescent="0.25">
      <c r="A2" s="41" t="s">
        <v>178</v>
      </c>
      <c r="B2" s="38"/>
      <c r="C2" s="38"/>
    </row>
    <row r="3" spans="1:3" x14ac:dyDescent="0.25">
      <c r="A3" s="34" t="s">
        <v>179</v>
      </c>
      <c r="B3" s="34" t="s">
        <v>180</v>
      </c>
      <c r="C3" s="34" t="s">
        <v>181</v>
      </c>
    </row>
    <row r="4" spans="1:3" ht="26.1" customHeight="1" x14ac:dyDescent="0.25">
      <c r="A4" s="2" t="s">
        <v>65</v>
      </c>
      <c r="B4" s="1" t="s">
        <v>182</v>
      </c>
      <c r="C4" s="1" t="s">
        <v>59</v>
      </c>
    </row>
    <row r="5" spans="1:3" ht="26.1" customHeight="1" x14ac:dyDescent="0.25">
      <c r="A5" s="2" t="s">
        <v>66</v>
      </c>
      <c r="B5" s="1" t="s">
        <v>183</v>
      </c>
      <c r="C5" s="1" t="s">
        <v>59</v>
      </c>
    </row>
    <row r="6" spans="1:3" ht="26.1" customHeight="1" x14ac:dyDescent="0.25">
      <c r="A6" s="2" t="s">
        <v>67</v>
      </c>
      <c r="B6" s="1" t="s">
        <v>184</v>
      </c>
      <c r="C6" s="1" t="s">
        <v>60</v>
      </c>
    </row>
    <row r="7" spans="1:3" ht="26.1" customHeight="1" x14ac:dyDescent="0.25">
      <c r="A7" s="2" t="s">
        <v>68</v>
      </c>
      <c r="B7" s="1" t="s">
        <v>185</v>
      </c>
      <c r="C7" s="1" t="s">
        <v>60</v>
      </c>
    </row>
    <row r="8" spans="1:3" ht="26.1" customHeight="1" x14ac:dyDescent="0.25">
      <c r="A8" s="2" t="s">
        <v>69</v>
      </c>
      <c r="B8" s="1" t="s">
        <v>186</v>
      </c>
      <c r="C8" s="1" t="s">
        <v>60</v>
      </c>
    </row>
    <row r="9" spans="1:3" ht="26.1" customHeight="1" x14ac:dyDescent="0.25">
      <c r="A9" s="2" t="s">
        <v>70</v>
      </c>
      <c r="B9" s="1" t="s">
        <v>187</v>
      </c>
      <c r="C9" s="1" t="s">
        <v>60</v>
      </c>
    </row>
    <row r="10" spans="1:3" ht="26.1" customHeight="1" x14ac:dyDescent="0.25">
      <c r="A10" s="2" t="s">
        <v>71</v>
      </c>
      <c r="B10" s="1" t="s">
        <v>188</v>
      </c>
      <c r="C10" s="1" t="s">
        <v>60</v>
      </c>
    </row>
    <row r="11" spans="1:3" ht="26.1" customHeight="1" x14ac:dyDescent="0.25">
      <c r="A11" s="2" t="s">
        <v>72</v>
      </c>
      <c r="B11" s="1" t="s">
        <v>189</v>
      </c>
      <c r="C11" s="1" t="s">
        <v>60</v>
      </c>
    </row>
    <row r="12" spans="1:3" ht="26.1" customHeight="1" x14ac:dyDescent="0.25">
      <c r="A12" s="2" t="s">
        <v>73</v>
      </c>
      <c r="B12" s="1" t="s">
        <v>190</v>
      </c>
      <c r="C12" s="1" t="s">
        <v>61</v>
      </c>
    </row>
    <row r="13" spans="1:3" ht="26.1" customHeight="1" x14ac:dyDescent="0.25">
      <c r="A13" s="2" t="s">
        <v>74</v>
      </c>
      <c r="B13" s="1" t="s">
        <v>191</v>
      </c>
      <c r="C13" s="1" t="s">
        <v>61</v>
      </c>
    </row>
    <row r="14" spans="1:3" ht="26.1" customHeight="1" x14ac:dyDescent="0.25">
      <c r="A14" s="2" t="s">
        <v>75</v>
      </c>
      <c r="B14" s="1" t="s">
        <v>192</v>
      </c>
      <c r="C14" s="1" t="s">
        <v>61</v>
      </c>
    </row>
    <row r="15" spans="1:3" ht="26.1" customHeight="1" x14ac:dyDescent="0.25">
      <c r="A15" s="2" t="s">
        <v>76</v>
      </c>
      <c r="B15" s="1" t="s">
        <v>193</v>
      </c>
      <c r="C15" s="1" t="s">
        <v>61</v>
      </c>
    </row>
    <row r="16" spans="1:3" ht="26.1" customHeight="1" x14ac:dyDescent="0.25">
      <c r="A16" s="2" t="s">
        <v>77</v>
      </c>
      <c r="B16" s="1" t="s">
        <v>194</v>
      </c>
      <c r="C16" s="1" t="s">
        <v>61</v>
      </c>
    </row>
    <row r="17" spans="1:3" ht="26.1" customHeight="1" x14ac:dyDescent="0.25">
      <c r="A17" s="2" t="s">
        <v>78</v>
      </c>
      <c r="B17" s="1" t="s">
        <v>195</v>
      </c>
      <c r="C17" s="1" t="s">
        <v>61</v>
      </c>
    </row>
    <row r="18" spans="1:3" ht="26.1" customHeight="1" x14ac:dyDescent="0.25">
      <c r="A18" s="2" t="s">
        <v>79</v>
      </c>
      <c r="B18" s="1" t="s">
        <v>196</v>
      </c>
      <c r="C18" s="1" t="s">
        <v>61</v>
      </c>
    </row>
    <row r="19" spans="1:3" ht="26.1" customHeight="1" x14ac:dyDescent="0.25">
      <c r="A19" s="2" t="s">
        <v>80</v>
      </c>
      <c r="B19" s="1" t="s">
        <v>197</v>
      </c>
      <c r="C19" s="1" t="s">
        <v>61</v>
      </c>
    </row>
    <row r="20" spans="1:3" ht="26.1" customHeight="1" x14ac:dyDescent="0.25">
      <c r="A20" s="2" t="s">
        <v>81</v>
      </c>
      <c r="B20" s="1" t="s">
        <v>198</v>
      </c>
      <c r="C20" s="1" t="s">
        <v>61</v>
      </c>
    </row>
    <row r="21" spans="1:3" ht="26.1" customHeight="1" x14ac:dyDescent="0.25">
      <c r="A21" s="2" t="s">
        <v>82</v>
      </c>
      <c r="B21" s="1" t="s">
        <v>199</v>
      </c>
      <c r="C21" s="1" t="s">
        <v>61</v>
      </c>
    </row>
    <row r="22" spans="1:3" ht="26.1" customHeight="1" x14ac:dyDescent="0.25">
      <c r="A22" s="2" t="s">
        <v>83</v>
      </c>
      <c r="B22" s="1" t="s">
        <v>200</v>
      </c>
      <c r="C22" s="1" t="s">
        <v>61</v>
      </c>
    </row>
    <row r="23" spans="1:3" ht="26.1" customHeight="1" x14ac:dyDescent="0.25">
      <c r="A23" s="2" t="s">
        <v>84</v>
      </c>
      <c r="B23" s="1" t="s">
        <v>201</v>
      </c>
      <c r="C23" s="1" t="s">
        <v>62</v>
      </c>
    </row>
    <row r="24" spans="1:3" ht="26.1" customHeight="1" x14ac:dyDescent="0.25">
      <c r="A24" s="2" t="s">
        <v>85</v>
      </c>
      <c r="B24" s="1" t="s">
        <v>202</v>
      </c>
      <c r="C24" s="1" t="s">
        <v>62</v>
      </c>
    </row>
    <row r="25" spans="1:3" ht="26.1" customHeight="1" x14ac:dyDescent="0.25">
      <c r="A25" s="2" t="s">
        <v>86</v>
      </c>
      <c r="B25" s="1" t="s">
        <v>203</v>
      </c>
      <c r="C25" s="1" t="s">
        <v>62</v>
      </c>
    </row>
    <row r="26" spans="1:3" ht="26.1" customHeight="1" x14ac:dyDescent="0.25">
      <c r="A26" s="2" t="s">
        <v>87</v>
      </c>
      <c r="B26" s="1" t="s">
        <v>204</v>
      </c>
      <c r="C26" s="1" t="s">
        <v>62</v>
      </c>
    </row>
    <row r="27" spans="1:3" ht="26.1" customHeight="1" x14ac:dyDescent="0.25">
      <c r="A27" s="2" t="s">
        <v>88</v>
      </c>
      <c r="B27" s="1" t="s">
        <v>205</v>
      </c>
      <c r="C27" s="1" t="s">
        <v>63</v>
      </c>
    </row>
    <row r="28" spans="1:3" ht="26.1" customHeight="1" x14ac:dyDescent="0.25">
      <c r="A28" s="2" t="s">
        <v>89</v>
      </c>
      <c r="B28" s="1" t="s">
        <v>206</v>
      </c>
      <c r="C28" s="1" t="s">
        <v>63</v>
      </c>
    </row>
    <row r="29" spans="1:3" ht="26.1" customHeight="1" x14ac:dyDescent="0.25">
      <c r="A29" s="2" t="s">
        <v>90</v>
      </c>
      <c r="B29" s="1" t="s">
        <v>207</v>
      </c>
      <c r="C29" s="1" t="s">
        <v>64</v>
      </c>
    </row>
    <row r="30" spans="1:3" ht="26.1" customHeight="1" x14ac:dyDescent="0.25">
      <c r="A30" s="2" t="s">
        <v>91</v>
      </c>
      <c r="B30" s="1" t="s">
        <v>208</v>
      </c>
      <c r="C30" s="1" t="s">
        <v>64</v>
      </c>
    </row>
    <row r="31" spans="1:3" ht="26.1" customHeight="1" x14ac:dyDescent="0.25">
      <c r="A31" s="2" t="s">
        <v>92</v>
      </c>
      <c r="B31" s="1" t="s">
        <v>209</v>
      </c>
      <c r="C31" s="1" t="s">
        <v>64</v>
      </c>
    </row>
    <row r="32" spans="1:3" ht="26.1" customHeight="1" x14ac:dyDescent="0.25">
      <c r="A32" s="2" t="s">
        <v>93</v>
      </c>
      <c r="B32" s="1" t="s">
        <v>210</v>
      </c>
      <c r="C32" s="1" t="s">
        <v>64</v>
      </c>
    </row>
    <row r="33" spans="1:3" ht="26.1" customHeight="1" x14ac:dyDescent="0.25">
      <c r="A33" s="2" t="s">
        <v>94</v>
      </c>
      <c r="B33" s="1" t="s">
        <v>211</v>
      </c>
      <c r="C33" s="1" t="s">
        <v>64</v>
      </c>
    </row>
    <row r="34" spans="1:3" ht="26.1" customHeight="1" x14ac:dyDescent="0.25">
      <c r="A34" s="2" t="s">
        <v>95</v>
      </c>
      <c r="B34" s="1" t="s">
        <v>212</v>
      </c>
      <c r="C34" s="1" t="s">
        <v>64</v>
      </c>
    </row>
    <row r="35" spans="1:3" ht="26.1" customHeight="1" x14ac:dyDescent="0.25">
      <c r="A35" s="2" t="s">
        <v>96</v>
      </c>
      <c r="B35" s="1" t="s">
        <v>213</v>
      </c>
      <c r="C35" s="1" t="s">
        <v>64</v>
      </c>
    </row>
    <row r="36" spans="1:3" ht="26.1" customHeight="1" x14ac:dyDescent="0.25">
      <c r="A36" s="2" t="s">
        <v>97</v>
      </c>
      <c r="B36" s="1" t="s">
        <v>214</v>
      </c>
      <c r="C36" s="1" t="s">
        <v>64</v>
      </c>
    </row>
    <row r="37" spans="1:3" ht="26.1" customHeight="1" x14ac:dyDescent="0.25">
      <c r="A37" s="2" t="s">
        <v>98</v>
      </c>
      <c r="B37" s="1" t="s">
        <v>215</v>
      </c>
      <c r="C37" s="1" t="s">
        <v>64</v>
      </c>
    </row>
    <row r="38" spans="1:3" ht="26.1" customHeight="1" x14ac:dyDescent="0.25">
      <c r="A38" s="2" t="s">
        <v>99</v>
      </c>
      <c r="B38" s="1" t="s">
        <v>216</v>
      </c>
      <c r="C38" s="1" t="s">
        <v>64</v>
      </c>
    </row>
    <row r="39" spans="1:3" ht="26.1" customHeight="1" x14ac:dyDescent="0.25">
      <c r="A39" s="2" t="s">
        <v>100</v>
      </c>
      <c r="B39" s="1" t="s">
        <v>217</v>
      </c>
      <c r="C39" s="1" t="s">
        <v>64</v>
      </c>
    </row>
    <row r="40" spans="1:3" ht="26.1" customHeight="1" x14ac:dyDescent="0.25">
      <c r="A40" s="2" t="s">
        <v>101</v>
      </c>
      <c r="B40" s="1" t="s">
        <v>218</v>
      </c>
      <c r="C40" s="1" t="s">
        <v>64</v>
      </c>
    </row>
    <row r="41" spans="1:3" ht="26.1" customHeight="1" x14ac:dyDescent="0.25">
      <c r="A41" s="2" t="s">
        <v>102</v>
      </c>
      <c r="B41" s="1" t="s">
        <v>219</v>
      </c>
      <c r="C41" s="1" t="s">
        <v>64</v>
      </c>
    </row>
    <row r="42" spans="1:3" ht="26.1" customHeight="1" x14ac:dyDescent="0.25">
      <c r="A42" s="2" t="s">
        <v>103</v>
      </c>
      <c r="B42" s="1" t="s">
        <v>220</v>
      </c>
      <c r="C42" s="1" t="s">
        <v>64</v>
      </c>
    </row>
    <row r="43" spans="1:3" ht="26.1" customHeight="1" x14ac:dyDescent="0.25">
      <c r="A43" s="2" t="s">
        <v>104</v>
      </c>
      <c r="B43" s="1" t="s">
        <v>221</v>
      </c>
      <c r="C43" s="1" t="s">
        <v>64</v>
      </c>
    </row>
    <row r="44" spans="1:3" ht="26.1" customHeight="1" x14ac:dyDescent="0.25">
      <c r="A44" s="2" t="s">
        <v>222</v>
      </c>
      <c r="B44" s="1" t="s">
        <v>223</v>
      </c>
      <c r="C44" s="1" t="s">
        <v>224</v>
      </c>
    </row>
    <row r="45" spans="1:3" ht="26.1" customHeight="1" x14ac:dyDescent="0.25">
      <c r="A45" s="2" t="s">
        <v>88</v>
      </c>
      <c r="B45" s="1" t="s">
        <v>225</v>
      </c>
      <c r="C45" s="1" t="s">
        <v>226</v>
      </c>
    </row>
    <row r="46" spans="1:3" ht="26.1" customHeight="1" x14ac:dyDescent="0.25">
      <c r="A46" s="2" t="s">
        <v>227</v>
      </c>
      <c r="B46" s="1" t="s">
        <v>228</v>
      </c>
      <c r="C46" s="1" t="s">
        <v>229</v>
      </c>
    </row>
    <row r="47" spans="1:3" ht="26.1" customHeight="1" x14ac:dyDescent="0.25">
      <c r="A47" s="2" t="s">
        <v>230</v>
      </c>
      <c r="B47" s="1" t="s">
        <v>231</v>
      </c>
      <c r="C47" s="1" t="s">
        <v>232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Guida</vt:lpstr>
      <vt:lpstr>Parametri</vt:lpstr>
      <vt:lpstr>Persone</vt:lpstr>
      <vt:lpstr>Turnover</vt:lpstr>
      <vt:lpstr>Valutazione Persona</vt:lpstr>
      <vt:lpstr>KPI Dashboard</vt:lpstr>
      <vt:lpstr>Glossario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Rocco Pietroni</cp:lastModifiedBy>
  <dcterms:created xsi:type="dcterms:W3CDTF">2026-09-13T13:53:11Z</dcterms:created>
  <dcterms:modified xsi:type="dcterms:W3CDTF">2026-09-13T13:58:39Z</dcterms:modified>
</cp:coreProperties>
</file>