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charts/chart2.xml" ContentType="application/vnd.openxmlformats-officedocument.drawingml.chart+xml"/>
  <Override PartName="/xl/tables/table4.xml" ContentType="application/vnd.openxmlformats-officedocument.spreadsheetml.table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nfo\Documents\Progetti\ImpresaNumerica\Excel\"/>
    </mc:Choice>
  </mc:AlternateContent>
  <xr:revisionPtr revIDLastSave="0" documentId="13_ncr:1_{E358E9F6-FACE-451F-8D03-7E9794C97CCF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Guida" sheetId="1" r:id="rId1"/>
    <sheet name="Parametri" sheetId="2" r:id="rId2"/>
    <sheet name="TCO e Investimento" sheetId="3" r:id="rId3"/>
    <sheet name="Affidabilita e Fermo" sheetId="4" r:id="rId4"/>
    <sheet name="Sostituzione Ottimale" sheetId="5" r:id="rId5"/>
    <sheet name="Affidabilità Avanzata" sheetId="6" r:id="rId6"/>
    <sheet name="Spare Parts - Dimensionamento" sheetId="7" r:id="rId7"/>
    <sheet name="Spare Parts - Service Level" sheetId="8" r:id="rId8"/>
    <sheet name="Spare Parts - Economia" sheetId="9" r:id="rId9"/>
    <sheet name="Glossario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58" i="5" l="1"/>
  <c r="B158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53" i="5"/>
  <c r="C53" i="5" s="1"/>
  <c r="B42" i="9"/>
  <c r="B43" i="9" s="1"/>
  <c r="B41" i="9"/>
  <c r="B40" i="9"/>
  <c r="B38" i="9"/>
  <c r="B39" i="9" s="1"/>
  <c r="B36" i="9"/>
  <c r="B20" i="9"/>
  <c r="B19" i="9"/>
  <c r="B21" i="9" s="1"/>
  <c r="B10" i="9"/>
  <c r="B11" i="9" s="1"/>
  <c r="B7" i="9"/>
  <c r="B39" i="8"/>
  <c r="B36" i="8"/>
  <c r="B7" i="8"/>
  <c r="M16" i="7"/>
  <c r="K16" i="7"/>
  <c r="H16" i="7"/>
  <c r="G16" i="7"/>
  <c r="M15" i="7"/>
  <c r="K15" i="7"/>
  <c r="H15" i="7"/>
  <c r="G15" i="7"/>
  <c r="M14" i="7"/>
  <c r="K14" i="7"/>
  <c r="H14" i="7"/>
  <c r="G14" i="7"/>
  <c r="M13" i="7"/>
  <c r="K13" i="7"/>
  <c r="H13" i="7"/>
  <c r="G13" i="7"/>
  <c r="M12" i="7"/>
  <c r="K12" i="7"/>
  <c r="H12" i="7"/>
  <c r="G12" i="7"/>
  <c r="M11" i="7"/>
  <c r="K11" i="7"/>
  <c r="H11" i="7"/>
  <c r="G11" i="7"/>
  <c r="M10" i="7"/>
  <c r="K10" i="7"/>
  <c r="H10" i="7"/>
  <c r="G10" i="7"/>
  <c r="M9" i="7"/>
  <c r="K9" i="7"/>
  <c r="H9" i="7"/>
  <c r="G9" i="7"/>
  <c r="M8" i="7"/>
  <c r="K8" i="7"/>
  <c r="H8" i="7"/>
  <c r="G8" i="7"/>
  <c r="M7" i="7"/>
  <c r="K7" i="7"/>
  <c r="H7" i="7"/>
  <c r="G7" i="7"/>
  <c r="K6" i="7"/>
  <c r="M6" i="7" s="1"/>
  <c r="G6" i="7"/>
  <c r="H6" i="7" s="1"/>
  <c r="M5" i="7"/>
  <c r="K5" i="7"/>
  <c r="G5" i="7"/>
  <c r="H5" i="7" s="1"/>
  <c r="K4" i="7"/>
  <c r="G4" i="7"/>
  <c r="H4" i="7" s="1"/>
  <c r="B5" i="8" s="1"/>
  <c r="E52" i="6"/>
  <c r="C52" i="6"/>
  <c r="F52" i="6" s="1"/>
  <c r="F51" i="6"/>
  <c r="E51" i="6"/>
  <c r="C51" i="6"/>
  <c r="E50" i="6"/>
  <c r="F50" i="6" s="1"/>
  <c r="C50" i="6"/>
  <c r="E49" i="6"/>
  <c r="C49" i="6"/>
  <c r="F49" i="6" s="1"/>
  <c r="B39" i="6"/>
  <c r="C39" i="6" s="1"/>
  <c r="B38" i="6"/>
  <c r="C38" i="6" s="1"/>
  <c r="B37" i="6"/>
  <c r="C37" i="6" s="1"/>
  <c r="B36" i="6"/>
  <c r="C36" i="6" s="1"/>
  <c r="B35" i="6"/>
  <c r="C35" i="6" s="1"/>
  <c r="B32" i="6"/>
  <c r="C19" i="6"/>
  <c r="B19" i="6"/>
  <c r="C18" i="6"/>
  <c r="E18" i="6" s="1"/>
  <c r="B18" i="6"/>
  <c r="C17" i="6"/>
  <c r="B17" i="6"/>
  <c r="C16" i="6"/>
  <c r="B16" i="6"/>
  <c r="C15" i="6"/>
  <c r="B15" i="6"/>
  <c r="C14" i="6"/>
  <c r="B14" i="6"/>
  <c r="C13" i="6"/>
  <c r="B13" i="6"/>
  <c r="C43" i="5"/>
  <c r="B43" i="5"/>
  <c r="C42" i="5"/>
  <c r="C44" i="5" s="1"/>
  <c r="B42" i="5"/>
  <c r="B38" i="5"/>
  <c r="B36" i="5"/>
  <c r="C34" i="5"/>
  <c r="B34" i="5"/>
  <c r="B35" i="5" s="1"/>
  <c r="B37" i="5" s="1"/>
  <c r="C33" i="5"/>
  <c r="C35" i="5" s="1"/>
  <c r="B33" i="5"/>
  <c r="C29" i="5"/>
  <c r="B29" i="5"/>
  <c r="C28" i="5"/>
  <c r="B28" i="5"/>
  <c r="D34" i="4"/>
  <c r="E34" i="4" s="1"/>
  <c r="B34" i="4"/>
  <c r="D33" i="4"/>
  <c r="B33" i="4"/>
  <c r="E33" i="4" s="1"/>
  <c r="D32" i="4"/>
  <c r="B32" i="4"/>
  <c r="E32" i="4" s="1"/>
  <c r="E31" i="4"/>
  <c r="D31" i="4"/>
  <c r="B31" i="4"/>
  <c r="B24" i="4"/>
  <c r="B23" i="4"/>
  <c r="B20" i="4"/>
  <c r="B13" i="4"/>
  <c r="B15" i="4" s="1"/>
  <c r="B9" i="4"/>
  <c r="B8" i="4"/>
  <c r="B6" i="4"/>
  <c r="B7" i="4" s="1"/>
  <c r="B96" i="3"/>
  <c r="B95" i="3"/>
  <c r="B92" i="3"/>
  <c r="B97" i="3" s="1"/>
  <c r="B91" i="3"/>
  <c r="B90" i="3"/>
  <c r="D79" i="3"/>
  <c r="C79" i="3"/>
  <c r="B79" i="3"/>
  <c r="D78" i="3"/>
  <c r="C78" i="3"/>
  <c r="B78" i="3"/>
  <c r="D77" i="3"/>
  <c r="C77" i="3"/>
  <c r="B77" i="3"/>
  <c r="D76" i="3"/>
  <c r="C76" i="3"/>
  <c r="B76" i="3"/>
  <c r="D75" i="3"/>
  <c r="C75" i="3"/>
  <c r="B75" i="3"/>
  <c r="D74" i="3"/>
  <c r="C74" i="3"/>
  <c r="B74" i="3"/>
  <c r="D73" i="3"/>
  <c r="C73" i="3"/>
  <c r="B73" i="3"/>
  <c r="D72" i="3"/>
  <c r="C72" i="3"/>
  <c r="B72" i="3"/>
  <c r="D71" i="3"/>
  <c r="C71" i="3"/>
  <c r="B71" i="3"/>
  <c r="D70" i="3"/>
  <c r="C70" i="3"/>
  <c r="B70" i="3"/>
  <c r="D69" i="3"/>
  <c r="C69" i="3"/>
  <c r="B69" i="3"/>
  <c r="D68" i="3"/>
  <c r="C68" i="3"/>
  <c r="B68" i="3"/>
  <c r="C67" i="3"/>
  <c r="B67" i="3"/>
  <c r="D67" i="3" s="1"/>
  <c r="C66" i="3"/>
  <c r="B66" i="3"/>
  <c r="D66" i="3" s="1"/>
  <c r="D65" i="3"/>
  <c r="C65" i="3"/>
  <c r="B65" i="3"/>
  <c r="B62" i="3"/>
  <c r="D51" i="3"/>
  <c r="C51" i="3"/>
  <c r="B51" i="3"/>
  <c r="D50" i="3"/>
  <c r="C50" i="3"/>
  <c r="B50" i="3"/>
  <c r="D49" i="3"/>
  <c r="C49" i="3"/>
  <c r="B49" i="3"/>
  <c r="D48" i="3"/>
  <c r="C48" i="3"/>
  <c r="B48" i="3"/>
  <c r="D47" i="3"/>
  <c r="C47" i="3"/>
  <c r="B47" i="3"/>
  <c r="D46" i="3"/>
  <c r="C46" i="3"/>
  <c r="B46" i="3"/>
  <c r="D45" i="3"/>
  <c r="C45" i="3"/>
  <c r="B45" i="3"/>
  <c r="D44" i="3"/>
  <c r="C44" i="3"/>
  <c r="B44" i="3"/>
  <c r="D43" i="3"/>
  <c r="C43" i="3"/>
  <c r="B43" i="3"/>
  <c r="D42" i="3"/>
  <c r="C42" i="3"/>
  <c r="B42" i="3"/>
  <c r="B41" i="3"/>
  <c r="B40" i="3"/>
  <c r="B39" i="3"/>
  <c r="C38" i="3"/>
  <c r="B38" i="3"/>
  <c r="B37" i="3"/>
  <c r="B34" i="3"/>
  <c r="C27" i="3"/>
  <c r="B27" i="3"/>
  <c r="C26" i="3"/>
  <c r="B26" i="3"/>
  <c r="C25" i="3"/>
  <c r="B25" i="3"/>
  <c r="C24" i="3"/>
  <c r="B24" i="3"/>
  <c r="C23" i="3"/>
  <c r="B23" i="3"/>
  <c r="C22" i="3"/>
  <c r="B22" i="3"/>
  <c r="C21" i="3"/>
  <c r="B21" i="3"/>
  <c r="C20" i="3"/>
  <c r="B20" i="3"/>
  <c r="C19" i="3"/>
  <c r="B19" i="3"/>
  <c r="C18" i="3"/>
  <c r="B18" i="3"/>
  <c r="B14" i="3"/>
  <c r="F9" i="3"/>
  <c r="F8" i="3"/>
  <c r="F7" i="3"/>
  <c r="F6" i="3"/>
  <c r="F5" i="3"/>
  <c r="C54" i="5" l="1"/>
  <c r="C55" i="5" s="1"/>
  <c r="C56" i="5" s="1"/>
  <c r="C57" i="5" s="1"/>
  <c r="C58" i="5" s="1"/>
  <c r="C59" i="5" s="1"/>
  <c r="C60" i="5" s="1"/>
  <c r="C61" i="5" s="1"/>
  <c r="C62" i="5" s="1"/>
  <c r="C63" i="5" s="1"/>
  <c r="C64" i="5" s="1"/>
  <c r="C65" i="5" s="1"/>
  <c r="C66" i="5" s="1"/>
  <c r="C67" i="5" s="1"/>
  <c r="C68" i="5" s="1"/>
  <c r="C69" i="5" s="1"/>
  <c r="C70" i="5" s="1"/>
  <c r="C71" i="5" s="1"/>
  <c r="C72" i="5" s="1"/>
  <c r="C73" i="5" s="1"/>
  <c r="C74" i="5" s="1"/>
  <c r="C75" i="5" s="1"/>
  <c r="C76" i="5" s="1"/>
  <c r="C77" i="5" s="1"/>
  <c r="C78" i="5" s="1"/>
  <c r="C79" i="5" s="1"/>
  <c r="C80" i="5" s="1"/>
  <c r="C81" i="5" s="1"/>
  <c r="C82" i="5" s="1"/>
  <c r="C83" i="5" s="1"/>
  <c r="C84" i="5" s="1"/>
  <c r="C85" i="5" s="1"/>
  <c r="C86" i="5" s="1"/>
  <c r="C87" i="5" s="1"/>
  <c r="C88" i="5" s="1"/>
  <c r="C89" i="5" s="1"/>
  <c r="C90" i="5" s="1"/>
  <c r="C91" i="5" s="1"/>
  <c r="C92" i="5" s="1"/>
  <c r="C93" i="5" s="1"/>
  <c r="C94" i="5" s="1"/>
  <c r="C95" i="5" s="1"/>
  <c r="C96" i="5" s="1"/>
  <c r="C97" i="5" s="1"/>
  <c r="C98" i="5" s="1"/>
  <c r="C99" i="5" s="1"/>
  <c r="C100" i="5" s="1"/>
  <c r="C101" i="5" s="1"/>
  <c r="C102" i="5" s="1"/>
  <c r="C103" i="5" s="1"/>
  <c r="C104" i="5" s="1"/>
  <c r="C105" i="5" s="1"/>
  <c r="C106" i="5" s="1"/>
  <c r="C107" i="5" s="1"/>
  <c r="C108" i="5" s="1"/>
  <c r="C109" i="5" s="1"/>
  <c r="C110" i="5" s="1"/>
  <c r="C111" i="5" s="1"/>
  <c r="C112" i="5" s="1"/>
  <c r="C113" i="5" s="1"/>
  <c r="C114" i="5" s="1"/>
  <c r="C115" i="5" s="1"/>
  <c r="C116" i="5" s="1"/>
  <c r="C117" i="5" s="1"/>
  <c r="C118" i="5" s="1"/>
  <c r="C119" i="5" s="1"/>
  <c r="C120" i="5" s="1"/>
  <c r="C121" i="5" s="1"/>
  <c r="C122" i="5" s="1"/>
  <c r="C123" i="5" s="1"/>
  <c r="C124" i="5" s="1"/>
  <c r="C125" i="5" s="1"/>
  <c r="C126" i="5" s="1"/>
  <c r="C127" i="5" s="1"/>
  <c r="C128" i="5" s="1"/>
  <c r="C129" i="5" s="1"/>
  <c r="C130" i="5" s="1"/>
  <c r="C131" i="5" s="1"/>
  <c r="C132" i="5" s="1"/>
  <c r="C133" i="5" s="1"/>
  <c r="C134" i="5" s="1"/>
  <c r="C135" i="5" s="1"/>
  <c r="C136" i="5" s="1"/>
  <c r="C137" i="5" s="1"/>
  <c r="C138" i="5" s="1"/>
  <c r="C139" i="5" s="1"/>
  <c r="C140" i="5" s="1"/>
  <c r="C141" i="5" s="1"/>
  <c r="C142" i="5" s="1"/>
  <c r="C143" i="5" s="1"/>
  <c r="C144" i="5" s="1"/>
  <c r="C145" i="5" s="1"/>
  <c r="C146" i="5" s="1"/>
  <c r="C147" i="5" s="1"/>
  <c r="C148" i="5" s="1"/>
  <c r="C149" i="5" s="1"/>
  <c r="C150" i="5" s="1"/>
  <c r="C151" i="5" s="1"/>
  <c r="C152" i="5" s="1"/>
  <c r="C36" i="5"/>
  <c r="C37" i="5"/>
  <c r="C38" i="5" s="1"/>
  <c r="C45" i="5"/>
  <c r="C46" i="5"/>
  <c r="C47" i="5" s="1"/>
  <c r="D14" i="6"/>
  <c r="E14" i="6"/>
  <c r="D37" i="3"/>
  <c r="B54" i="3"/>
  <c r="C41" i="3"/>
  <c r="C40" i="3"/>
  <c r="D40" i="3" s="1"/>
  <c r="C37" i="3"/>
  <c r="B56" i="6"/>
  <c r="B55" i="6"/>
  <c r="D38" i="3"/>
  <c r="B84" i="3"/>
  <c r="B44" i="5"/>
  <c r="B6" i="8"/>
  <c r="M4" i="7"/>
  <c r="D15" i="6"/>
  <c r="E15" i="6"/>
  <c r="E16" i="6"/>
  <c r="D16" i="6"/>
  <c r="B46" i="9"/>
  <c r="B45" i="9"/>
  <c r="B81" i="3"/>
  <c r="B82" i="3" s="1"/>
  <c r="B83" i="3" s="1"/>
  <c r="D41" i="3"/>
  <c r="C39" i="3"/>
  <c r="D39" i="3" s="1"/>
  <c r="D13" i="6"/>
  <c r="E13" i="6"/>
  <c r="D17" i="6"/>
  <c r="E17" i="6"/>
  <c r="D19" i="6"/>
  <c r="E19" i="6"/>
  <c r="B36" i="4"/>
  <c r="D18" i="6"/>
  <c r="B23" i="6" l="1"/>
  <c r="B24" i="6" s="1"/>
  <c r="B53" i="3"/>
  <c r="B55" i="3" s="1"/>
  <c r="B46" i="5"/>
  <c r="B45" i="5"/>
  <c r="E151" i="5"/>
  <c r="E149" i="5"/>
  <c r="E147" i="5"/>
  <c r="E145" i="5"/>
  <c r="E143" i="5"/>
  <c r="E141" i="5"/>
  <c r="E139" i="5"/>
  <c r="E137" i="5"/>
  <c r="E135" i="5"/>
  <c r="E133" i="5"/>
  <c r="E131" i="5"/>
  <c r="E129" i="5"/>
  <c r="E127" i="5"/>
  <c r="E125" i="5"/>
  <c r="E123" i="5"/>
  <c r="E121" i="5"/>
  <c r="E119" i="5"/>
  <c r="E117" i="5"/>
  <c r="E115" i="5"/>
  <c r="E113" i="5"/>
  <c r="E111" i="5"/>
  <c r="E109" i="5"/>
  <c r="E107" i="5"/>
  <c r="E105" i="5"/>
  <c r="E103" i="5"/>
  <c r="E101" i="5"/>
  <c r="E99" i="5"/>
  <c r="E97" i="5"/>
  <c r="E95" i="5"/>
  <c r="E93" i="5"/>
  <c r="E91" i="5"/>
  <c r="E89" i="5"/>
  <c r="E87" i="5"/>
  <c r="E85" i="5"/>
  <c r="E83" i="5"/>
  <c r="E81" i="5"/>
  <c r="E79" i="5"/>
  <c r="E77" i="5"/>
  <c r="E75" i="5"/>
  <c r="E73" i="5"/>
  <c r="E71" i="5"/>
  <c r="E69" i="5"/>
  <c r="E67" i="5"/>
  <c r="E65" i="5"/>
  <c r="E63" i="5"/>
  <c r="E61" i="5"/>
  <c r="E59" i="5"/>
  <c r="E57" i="5"/>
  <c r="E55" i="5"/>
  <c r="E53" i="5"/>
  <c r="E152" i="5"/>
  <c r="E150" i="5"/>
  <c r="E148" i="5"/>
  <c r="E146" i="5"/>
  <c r="E144" i="5"/>
  <c r="E142" i="5"/>
  <c r="E140" i="5"/>
  <c r="E138" i="5"/>
  <c r="E136" i="5"/>
  <c r="E134" i="5"/>
  <c r="E132" i="5"/>
  <c r="E130" i="5"/>
  <c r="E128" i="5"/>
  <c r="E126" i="5"/>
  <c r="E124" i="5"/>
  <c r="E122" i="5"/>
  <c r="E120" i="5"/>
  <c r="E118" i="5"/>
  <c r="E116" i="5"/>
  <c r="E114" i="5"/>
  <c r="E112" i="5"/>
  <c r="E110" i="5"/>
  <c r="E108" i="5"/>
  <c r="E106" i="5"/>
  <c r="E104" i="5"/>
  <c r="E102" i="5"/>
  <c r="E100" i="5"/>
  <c r="E98" i="5"/>
  <c r="E96" i="5"/>
  <c r="E94" i="5"/>
  <c r="E92" i="5"/>
  <c r="E90" i="5"/>
  <c r="E88" i="5"/>
  <c r="E86" i="5"/>
  <c r="E84" i="5"/>
  <c r="E82" i="5"/>
  <c r="E80" i="5"/>
  <c r="E78" i="5"/>
  <c r="E76" i="5"/>
  <c r="E74" i="5"/>
  <c r="E72" i="5"/>
  <c r="E70" i="5"/>
  <c r="E68" i="5"/>
  <c r="E66" i="5"/>
  <c r="E64" i="5"/>
  <c r="E62" i="5"/>
  <c r="E60" i="5"/>
  <c r="E58" i="5"/>
  <c r="E56" i="5"/>
  <c r="E54" i="5"/>
  <c r="B25" i="8"/>
  <c r="B17" i="8"/>
  <c r="B24" i="8"/>
  <c r="B16" i="8"/>
  <c r="B31" i="8"/>
  <c r="B23" i="8"/>
  <c r="B15" i="8"/>
  <c r="B29" i="8"/>
  <c r="B21" i="8"/>
  <c r="B13" i="8"/>
  <c r="B28" i="8"/>
  <c r="B20" i="8"/>
  <c r="B12" i="8"/>
  <c r="B27" i="8"/>
  <c r="B19" i="8"/>
  <c r="B11" i="8"/>
  <c r="B33" i="8" s="1"/>
  <c r="B26" i="8"/>
  <c r="B18" i="8"/>
  <c r="B14" i="8"/>
  <c r="B30" i="8"/>
  <c r="B22" i="8"/>
  <c r="C156" i="5" l="1"/>
  <c r="C157" i="5" s="1"/>
  <c r="C159" i="5" s="1"/>
  <c r="B47" i="5"/>
  <c r="D85" i="5" l="1"/>
  <c r="D74" i="5"/>
  <c r="D89" i="5"/>
  <c r="D137" i="5"/>
  <c r="D121" i="5"/>
  <c r="D142" i="5"/>
  <c r="D110" i="5"/>
  <c r="D150" i="5"/>
  <c r="D118" i="5"/>
  <c r="D90" i="5"/>
  <c r="D135" i="5"/>
  <c r="D148" i="5"/>
  <c r="D86" i="5"/>
  <c r="D103" i="5"/>
  <c r="D152" i="5"/>
  <c r="D98" i="5"/>
  <c r="D70" i="5"/>
  <c r="D101" i="5"/>
  <c r="D57" i="5"/>
  <c r="D77" i="5"/>
  <c r="D56" i="5"/>
  <c r="D151" i="5"/>
  <c r="D119" i="5"/>
  <c r="D140" i="5"/>
  <c r="D106" i="5"/>
  <c r="D116" i="5"/>
  <c r="D59" i="5"/>
  <c r="D141" i="5"/>
  <c r="D99" i="5"/>
  <c r="D76" i="5"/>
  <c r="D65" i="5"/>
  <c r="D60" i="5"/>
  <c r="D93" i="5"/>
  <c r="D53" i="5"/>
  <c r="D64" i="5"/>
  <c r="D149" i="5"/>
  <c r="D133" i="5"/>
  <c r="D117" i="5"/>
  <c r="D136" i="5"/>
  <c r="D100" i="5"/>
  <c r="D144" i="5"/>
  <c r="D112" i="5"/>
  <c r="D84" i="5"/>
  <c r="D67" i="5"/>
  <c r="D55" i="5"/>
  <c r="D109" i="5"/>
  <c r="D72" i="5"/>
  <c r="D147" i="5"/>
  <c r="D115" i="5"/>
  <c r="D132" i="5"/>
  <c r="D96" i="5"/>
  <c r="D108" i="5"/>
  <c r="D80" i="5"/>
  <c r="D75" i="5"/>
  <c r="D79" i="5"/>
  <c r="D69" i="5"/>
  <c r="D81" i="5"/>
  <c r="D145" i="5"/>
  <c r="D129" i="5"/>
  <c r="D113" i="5"/>
  <c r="D128" i="5"/>
  <c r="D134" i="5"/>
  <c r="D104" i="5"/>
  <c r="D78" i="5"/>
  <c r="D91" i="5"/>
  <c r="D124" i="5"/>
  <c r="D130" i="5"/>
  <c r="D68" i="5"/>
  <c r="D58" i="5"/>
  <c r="D120" i="5"/>
  <c r="D73" i="5"/>
  <c r="D105" i="5"/>
  <c r="D61" i="5"/>
  <c r="D131" i="5"/>
  <c r="D138" i="5"/>
  <c r="D92" i="5"/>
  <c r="D125" i="5"/>
  <c r="D126" i="5"/>
  <c r="D139" i="5"/>
  <c r="D97" i="5"/>
  <c r="D63" i="5"/>
  <c r="D82" i="5"/>
  <c r="D146" i="5"/>
  <c r="D54" i="5"/>
  <c r="D95" i="5"/>
  <c r="D71" i="5"/>
  <c r="D87" i="5"/>
  <c r="D143" i="5"/>
  <c r="D127" i="5"/>
  <c r="D111" i="5"/>
  <c r="D88" i="5"/>
  <c r="D102" i="5"/>
  <c r="D107" i="5"/>
  <c r="D123" i="5"/>
  <c r="D114" i="5"/>
  <c r="D122" i="5"/>
  <c r="D94" i="5"/>
  <c r="D62" i="5"/>
  <c r="D83" i="5"/>
  <c r="D66" i="5"/>
  <c r="B156" i="5" l="1"/>
  <c r="B157" i="5" s="1"/>
  <c r="B159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B14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Oltre questo orizzonte l'acquisto (Capex) conviene economicamente; sotto, il noleggio (Opex) può essere preferibile anche per il valore della reversibilità</t>
        </r>
      </text>
    </comment>
    <comment ref="B34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Ripreso dal foglio Parametri; modificalo lì se serve un tasso diverso per questo asset</t>
        </r>
      </text>
    </comment>
    <comment ref="B97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Ottenuta sfruttando meglio la capacità già pagata, senza investimento aggiuntivo (§4.5)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B14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Stima extra oltre ai soli tempi tecnici di guasto/riparazione</t>
        </r>
      </text>
    </comment>
    <comment ref="B15" authorId="0" shapeId="0" xr:uid="{00000000-0006-0000-0300-000002000000}">
      <text>
        <r>
          <rPr>
            <sz val="11"/>
            <color theme="1"/>
            <rFont val="Calibri"/>
            <family val="2"/>
            <scheme val="minor"/>
          </rPr>
          <t>Availability teorica x (1 - quota di fermi programmati aggiuntivi); collega Cap.4 §4.5 Asset Utilization</t>
        </r>
      </text>
    </comment>
    <comment ref="B23" authorId="0" shapeId="0" xr:uid="{00000000-0006-0000-0300-000003000000}">
      <text>
        <r>
          <rPr>
            <sz val="11"/>
            <color theme="1"/>
            <rFont val="Calibri"/>
            <family val="2"/>
            <scheme val="minor"/>
          </rPr>
          <t>Da confrontare con il costo di un intervento di manutenzione preventiva o di ridondanza (§5.4)</t>
        </r>
      </text>
    </comment>
    <comment ref="B36" authorId="0" shapeId="0" xr:uid="{00000000-0006-0000-0300-000004000000}">
      <text>
        <r>
          <rPr>
            <sz val="11"/>
            <color theme="1"/>
            <rFont val="Calibri"/>
            <family val="2"/>
            <scheme val="minor"/>
          </rPr>
          <t>Riga con il costo totale minimo: oltre questa frequenza, il costo preventivo aggiuntivo supera il risparmio in guasti evitati (§5.5)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B6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β&lt;1 mortalità infantile, β=1 guasti casuali (MTBF costante), β&gt;1 usura vera e propria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B33" authorId="0" shapeId="0" xr:uid="{00000000-0006-0000-0700-000001000000}">
      <text>
        <r>
          <rPr>
            <sz val="11"/>
            <color theme="1"/>
            <rFont val="Calibri"/>
            <family val="2"/>
            <scheme val="minor"/>
          </rPr>
          <t>Conta quanti S (a partire da 0) hanno Service Level sotto il target: coincide con il primo S che lo raggiunge, dato che il Service Level cresce sempre con S</t>
        </r>
      </text>
    </comment>
    <comment ref="B39" authorId="0" shapeId="0" xr:uid="{00000000-0006-0000-0700-000002000000}">
      <text>
        <r>
          <rPr>
            <sz val="11"/>
            <color theme="1"/>
            <rFont val="Calibri"/>
            <family val="2"/>
            <scheme val="minor"/>
          </rPr>
          <t>Riserva che assorbe la variabilità di domanda e Lead Time senza generare stock-out (§6.3)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B32" authorId="0" shapeId="0" xr:uid="{00000000-0006-0000-0800-000001000000}">
      <text>
        <r>
          <rPr>
            <sz val="11"/>
            <color theme="1"/>
            <rFont val="Calibri"/>
            <family val="2"/>
            <scheme val="minor"/>
          </rPr>
          <t>Espresso come moltiplicatore totale, es. 1,15 = +15% (coerente con l'esempio del libro)</t>
        </r>
      </text>
    </comment>
    <comment ref="B43" authorId="0" shapeId="0" xr:uid="{00000000-0006-0000-0800-000002000000}">
      <text>
        <r>
          <rPr>
            <sz val="11"/>
            <color theme="1"/>
            <rFont val="Calibri"/>
            <family val="2"/>
            <scheme val="minor"/>
          </rPr>
          <t>Cresce rapidamente se P(X&gt;ridondanza) non è trascurabile: conviene solo per ricambi a bassa criticità o con ridondanza+riparabilità (§6.7-6.8)</t>
        </r>
      </text>
    </comment>
    <comment ref="B45" authorId="0" shapeId="0" xr:uid="{00000000-0006-0000-0800-000003000000}">
      <text>
        <r>
          <rPr>
            <sz val="11"/>
            <color theme="1"/>
            <rFont val="Calibri"/>
            <family val="2"/>
            <scheme val="minor"/>
          </rPr>
          <t>Sovrapprezzo massimo accettabile in conto deposito oltre cui conviene comunque il Capex</t>
        </r>
      </text>
    </comment>
  </commentList>
</comments>
</file>

<file path=xl/sharedStrings.xml><?xml version="1.0" encoding="utf-8"?>
<sst xmlns="http://schemas.openxmlformats.org/spreadsheetml/2006/main" count="440" uniqueCount="395">
  <si>
    <t>Economia degli Asset — Parte IV</t>
  </si>
  <si>
    <t>ImpresaNumerica · Capitoli 4-6 — investimento, affidabilita, manutenzione e scorte tecniche</t>
  </si>
  <si>
    <t>Questo file copre i tre capitoli della Parte IV: il costo di possesso di un asset lungo l'intero ciclo di vita (Cap. 4), l'affidabilita e l'eta ottimale di sostituzione preventiva (Cap. 5), e il dimensionamento probabilistico delle scorte di ricambi (Cap. 6). Ogni foglio e un calcolatore autonomo: puoi usarli singolarmente o in sequenza per uno stesso asset.</t>
  </si>
  <si>
    <t>Come è organizzato il file</t>
  </si>
  <si>
    <t>Parametri</t>
  </si>
  <si>
    <t>Costanti condivise: tasso di attualizzazione, ore di funzionamento annue, soglie di riferimento.</t>
  </si>
  <si>
    <t>TCO e Investimento</t>
  </si>
  <si>
    <t>Cap. 4 (§4.1-4.5): confronto costo ciclo di vita tra asset alternativi, breakeven Capex/Opex, TCO attualizzato, ROI/NPV/Payback, Asset Utilization.</t>
  </si>
  <si>
    <t>Affidabilita e Fermo</t>
  </si>
  <si>
    <t>Cap. 5 (§5.1-5.5): MTBF, MTTR, Availability, costo del fermo, tabella di ottimizzazione della frequenza di manutenzione preventiva.</t>
  </si>
  <si>
    <t>Sostituzione Ottimale</t>
  </si>
  <si>
    <t>Cap. 5 (§5.6-5.9): modello di usura Weibull, età ottimale di sostituzione T* ed effettivo mix preventiva/correttiva, con ottimizzazione delle risorse (N_p*, N_c*) — due scenari precompilati (impianto chimico / intralogistica) per validare i risultati contro gli esempi del libro.</t>
  </si>
  <si>
    <t>Affidabilità Avanzata</t>
  </si>
  <si>
    <t>Cap. 5 (§5.10-5.12): curva a vasca da bagno per cause di guasto competitive, componenti elettronici a mortalità infantile senza usura, e manutenzione on-performance basata su un segnale di degrado invece che sull'età.</t>
  </si>
  <si>
    <t>Spare Parts - Dimensionamento</t>
  </si>
  <si>
    <t>Cap. 6 (§6.1-6.2, 6.4, 6.7): domanda di ricambi, Service Level via Poisson (teorema di Palm), effetto di ridondanza e riparabilità, per un intero catalogo di ricambi.</t>
  </si>
  <si>
    <t>Spare Parts - Service Level</t>
  </si>
  <si>
    <t>Dettaglio del calcolo per UN ricambio alla volta: tabella completa Scorta -&gt; Service Level, e Safety Stock (§6.3).</t>
  </si>
  <si>
    <t>Spare Parts - Economia</t>
  </si>
  <si>
    <t>Cap. 6 (§6.5, §6.6, §6.8): convenienza economica della scorta, Repair vs Replace, e confronto Capex / Opex a consumo / Opex puro per l'acquisizione dei ricambi.</t>
  </si>
  <si>
    <t>Glossario</t>
  </si>
  <si>
    <t>Significato di ogni sigla con riferimento al paragrafo del libro.</t>
  </si>
  <si>
    <t>Legenda colori</t>
  </si>
  <si>
    <t>Cella di INPUT — inserisci qui i tuoi dati</t>
  </si>
  <si>
    <t>Cella CALCOLATA — contiene una formula, non modificare</t>
  </si>
  <si>
    <t>Intestazione di gruppo / sezione</t>
  </si>
  <si>
    <t>Nota sui calcolatori a griglia numerica</t>
  </si>
  <si>
    <t>Il foglio 'Sostituzione Ottimale' non risolve T* con una formula chiusa (l'integrale di una Weibull generica non ha forma elementare): valuta g(T) su una griglia fine di età possibili e individua il minimo, esattamente come fanno le tabelle di esempio del libro (§5.7). È un metodo robusto e trasparente, non un'approssimazione di ripiego.</t>
  </si>
  <si>
    <t>Parametri condivisi</t>
  </si>
  <si>
    <t>Usati dai calcolatori di TCO, affidabilità e scorte</t>
  </si>
  <si>
    <t>Finanza</t>
  </si>
  <si>
    <t>Tasso di attualizzazione (r)</t>
  </si>
  <si>
    <t>%</t>
  </si>
  <si>
    <t>Costo del capitale usato per attualizzare flussi futuri (§4.3-4.4)</t>
  </si>
  <si>
    <t>Ore di funzionamento annue standard</t>
  </si>
  <si>
    <t>8.760 h = asset a ciclo continuo; usa un valore inferiore per asset non 24/7</t>
  </si>
  <si>
    <t>Soglie di riferimento</t>
  </si>
  <si>
    <t>Service Level target di default (scorte)</t>
  </si>
  <si>
    <t>Probabilità target di non restare senza ricambio (§6.2)</t>
  </si>
  <si>
    <t>Fattore z per Safety Stock al 95%</t>
  </si>
  <si>
    <t>Valore standard per Service Level 95% a una coda (§6.3)</t>
  </si>
  <si>
    <t>TCO e Investimento — l'asset come investimento (§4.1-4.5)</t>
  </si>
  <si>
    <t>A) Confronto costo ciclo di vita tra alternative (§4.1)</t>
  </si>
  <si>
    <t>Alternativa</t>
  </si>
  <si>
    <t>PrezzoAcquisto</t>
  </si>
  <si>
    <t>CostoEnergiaAnno</t>
  </si>
  <si>
    <t>CostoManutAnno</t>
  </si>
  <si>
    <t>OrizzonteAnni</t>
  </si>
  <si>
    <t>CostoTotale</t>
  </si>
  <si>
    <t>Macchinario A</t>
  </si>
  <si>
    <t>Macchinario B</t>
  </si>
  <si>
    <t>B) Capex vs Opex — punto di pareggio (§4.2)</t>
  </si>
  <si>
    <t>Capex — prezzo di acquisto</t>
  </si>
  <si>
    <t>Opex — canone annuo di noleggio</t>
  </si>
  <si>
    <t>Punto di pareggio (anni)</t>
  </si>
  <si>
    <t>Curve di costo cumulato per anno</t>
  </si>
  <si>
    <t>Anno</t>
  </si>
  <si>
    <t>Costo cumulato Capex</t>
  </si>
  <si>
    <t>Costo cumulato Opex</t>
  </si>
  <si>
    <t>C) Total Cost of Ownership attualizzato (§4.3)</t>
  </si>
  <si>
    <t>C_acq — costo di acquisizione</t>
  </si>
  <si>
    <t>Costo operativo + manutenzione annuo</t>
  </si>
  <si>
    <t>n — vita utile (anni)</t>
  </si>
  <si>
    <t>Valore residuo a fine vita</t>
  </si>
  <si>
    <t>r — tasso di attualizzazione</t>
  </si>
  <si>
    <t>Flusso op+man</t>
  </si>
  <si>
    <t>Fattore sconto</t>
  </si>
  <si>
    <t>Costo attualizzato</t>
  </si>
  <si>
    <t>Somma costi operativi attualizzati</t>
  </si>
  <si>
    <t>Valore residuo attualizzato</t>
  </si>
  <si>
    <t>TCO — Total Cost of Ownership</t>
  </si>
  <si>
    <t>D) ROI, NPV e Payback Period (§4.4)</t>
  </si>
  <si>
    <t>Investimento iniziale</t>
  </si>
  <si>
    <t>Flusso di cassa netto annuo</t>
  </si>
  <si>
    <t>Orizzonte di valutazione (anni)</t>
  </si>
  <si>
    <t>Costo del capitale (r)</t>
  </si>
  <si>
    <t>Payback Period (anni)</t>
  </si>
  <si>
    <t>Flusso di cassa</t>
  </si>
  <si>
    <t>Flusso attualizzato</t>
  </si>
  <si>
    <t>Valore attuale dei flussi</t>
  </si>
  <si>
    <t>NPV — Net Present Value</t>
  </si>
  <si>
    <t>ROI attualizzato (NPV / Investimento)</t>
  </si>
  <si>
    <t>ROI semplice, non attualizzato ((flussi nominali - investimento)/investimento)</t>
  </si>
  <si>
    <t>E) Asset Utilization (§4.5)</t>
  </si>
  <si>
    <t>Capacità teorica (unità/periodo)</t>
  </si>
  <si>
    <t>Output reale (unità/periodo)</t>
  </si>
  <si>
    <t>Costo fisso del periodo (ammortamento+manutenzione base)</t>
  </si>
  <si>
    <t>Utilization</t>
  </si>
  <si>
    <t>Idle Capacity (unità)</t>
  </si>
  <si>
    <t>Costo fisso per unità prodotta</t>
  </si>
  <si>
    <t>Utilization target (what-if)</t>
  </si>
  <si>
    <t>Output a target</t>
  </si>
  <si>
    <t>Costo fisso per unità a target</t>
  </si>
  <si>
    <t>Riduzione di costo unitario ottenibile</t>
  </si>
  <si>
    <t>Affidabilità, Manutenzione e Disponibilità (§5.1-5.5)</t>
  </si>
  <si>
    <t>A) MTBF e Failure Rate (§5.1)</t>
  </si>
  <si>
    <t>Guasti osservati (storico)</t>
  </si>
  <si>
    <t>Ore di funzionamento cumulate osservate</t>
  </si>
  <si>
    <t>MTBF</t>
  </si>
  <si>
    <t>λ — Failure Rate (guasti/ora)</t>
  </si>
  <si>
    <t>Ore di funzionamento annue di questo asset</t>
  </si>
  <si>
    <t>Guasti attesi all'anno su questo asset</t>
  </si>
  <si>
    <t>B) MTTR e Availability (§5.2-5.3)</t>
  </si>
  <si>
    <t>MTTR — tempo medio di ripristino</t>
  </si>
  <si>
    <t>Availability teorica</t>
  </si>
  <si>
    <t>Fermi programmati aggiuntivi (cambi formato, attese materiale...)</t>
  </si>
  <si>
    <t>Disponibilità reale stimata</t>
  </si>
  <si>
    <t>C) Costo del fermo (§5.4)</t>
  </si>
  <si>
    <t>Unità prodotte per ora</t>
  </si>
  <si>
    <t>Margine unitario</t>
  </si>
  <si>
    <t>Costo diretto del fermo per ora (produzione persa)</t>
  </si>
  <si>
    <t>Costi indiretti aggiuntivi per evento (penali, straordinari)</t>
  </si>
  <si>
    <t>Durata tipica del fermo (ore)</t>
  </si>
  <si>
    <t>Costo totale per evento di fermo</t>
  </si>
  <si>
    <t>Costo totale del fermo per ora (diretto+indiretto)</t>
  </si>
  <si>
    <t>D) Punto ottimale della frequenza di manutenzione preventiva (§5.5)</t>
  </si>
  <si>
    <t>Costo per intervento preventivo</t>
  </si>
  <si>
    <t>Costo atteso per evento di guasto</t>
  </si>
  <si>
    <t>InterventiAnno</t>
  </si>
  <si>
    <t>CostoPreventivo</t>
  </si>
  <si>
    <t>GuastiAttesiAnno</t>
  </si>
  <si>
    <t>CostoAttesoGuasto</t>
  </si>
  <si>
    <t>Frequenza ottimale (interventi/anno)</t>
  </si>
  <si>
    <t>Età ottimale di sostituzione — Weibull + risorse (§5.6-5.9)</t>
  </si>
  <si>
    <t>Due scenari di processo con lo STESSO asset (stessa curva di usura), per isolare l'effetto del contesto sul risultato — riproduce l'esempio del libro (§5.7-§5.8).</t>
  </si>
  <si>
    <t>Parametri di usura (Weibull) — condivisi dai due scenari</t>
  </si>
  <si>
    <t>β — parametro di forma</t>
  </si>
  <si>
    <t>η — vita caratteristica (ore)</t>
  </si>
  <si>
    <t>Parametri di processo e risorse — due scenari a confronto</t>
  </si>
  <si>
    <t>Parametro</t>
  </si>
  <si>
    <t>Scenario 1 — Impianto chimico</t>
  </si>
  <si>
    <t>Scenario 2 — Intralogistica</t>
  </si>
  <si>
    <t>Δ — pausa naturale tra cicli (ore)</t>
  </si>
  <si>
    <t>C_p0 — costo diretto preventivo, squadra minima (€)</t>
  </si>
  <si>
    <t>M_p0 — durata preventivo, squadra minima (ore)</t>
  </si>
  <si>
    <t>C_c0 — costo diretto correttivo, squadra minima (€)</t>
  </si>
  <si>
    <t>M_c0 — durata correttivo, squadra minima (ore)</t>
  </si>
  <si>
    <t>C_prod — costo unitario mancata produzione (€/ora)</t>
  </si>
  <si>
    <t>C_sr — sovraccosto arresto/ripartenza (€)</t>
  </si>
  <si>
    <t>p_p — probabilità perdita lavorazione in corso</t>
  </si>
  <si>
    <t>C_b — costo della lavorazione persa (€)</t>
  </si>
  <si>
    <t>α_p — elasticità parallelizzazione preventiva</t>
  </si>
  <si>
    <t>w_p — costo orario per risorsa, preventivo (€/h-tecnico)</t>
  </si>
  <si>
    <t>α_c — elasticità parallelizzazione correttiva</t>
  </si>
  <si>
    <t>w_c — costo orario per risorsa, correttivo (€/h-tecnico)</t>
  </si>
  <si>
    <t>Δc — finestra di grazia per il correttivo (ore, 0 = nessuna)</t>
  </si>
  <si>
    <t>Costo pieno dell'evento — squadra minima (baseline, N=1)</t>
  </si>
  <si>
    <t>Grandezza</t>
  </si>
  <si>
    <t>Scenario 1</t>
  </si>
  <si>
    <t>Scenario 2</t>
  </si>
  <si>
    <t>C_p,tot baseline (N_p=1)</t>
  </si>
  <si>
    <t>C_c,tot baseline (N_c=1)</t>
  </si>
  <si>
    <t>Ottimizzazione risorse — manutenzione preventiva (§5.8)</t>
  </si>
  <si>
    <t>N_p,u — ottimo non vincolato</t>
  </si>
  <si>
    <t>N_p,Δ — soglia di sincronizzazione</t>
  </si>
  <si>
    <t>N_p* — risorse ottimali preventivo</t>
  </si>
  <si>
    <t>M_p(N_p*) — durata preventivo ottimizzata (ore)</t>
  </si>
  <si>
    <t>C_p(N_p*) — costo diretto preventivo ottimizzato (€)</t>
  </si>
  <si>
    <t>C_p,tot(N_p*) — costo pieno preventivo ottimizzato (€)</t>
  </si>
  <si>
    <t>Ottimizzazione risorse — manutenzione correttiva (§5.8)</t>
  </si>
  <si>
    <t>N_c,u — ottimo non vincolato</t>
  </si>
  <si>
    <t>N_c,Δ — soglia di sincronizzazione (se esiste finestra Δc)</t>
  </si>
  <si>
    <t>N_c* — risorse ottimali correttivo</t>
  </si>
  <si>
    <t>M_c(N_c*) — durata correttivo ottimizzata (ore)</t>
  </si>
  <si>
    <t>C_c(N_c*) — costo diretto correttivo ottimizzato (€)</t>
  </si>
  <si>
    <t>C_c,tot(N_c*) — costo pieno correttivo ottimizzato (€)</t>
  </si>
  <si>
    <t>Griglia numerica di g(T) — individuazione di T* (§5.6-5.7)</t>
  </si>
  <si>
    <t>g(T) è valutata su una griglia fine (passo 100 ore) invece che con una formula chiusa, perché l'integrale di una Weibull generica non ha forma elementare — lo stesso approccio a tabella usato nel libro (§5.7).</t>
  </si>
  <si>
    <t>T (ore)</t>
  </si>
  <si>
    <t>R(T)</t>
  </si>
  <si>
    <t>∫R(t)dt cumulato</t>
  </si>
  <si>
    <t>g(T) Scenario 1</t>
  </si>
  <si>
    <t>g(T) Scenario 2</t>
  </si>
  <si>
    <t>Risultato — età ottimale di sostituzione</t>
  </si>
  <si>
    <t>g* — costo medio di sistema minimo (€/ora)</t>
  </si>
  <si>
    <t>T* — età ottimale di sostituzione (ore)</t>
  </si>
  <si>
    <t>R(T*) = % interventi preventivi</t>
  </si>
  <si>
    <t>1-R(T*) = % interventi correttivi</t>
  </si>
  <si>
    <t>Curve di guasto avanzate e manutenzione on-condition (§5.10-5.12)</t>
  </si>
  <si>
    <t>Estende il modello di usura Weibull del §5.6 a più cause di guasto simultanee (§5.10 — curva a vasca da bagno per cause competitive), al caso dei componenti elettronici privi di un termine di usura rilevante entro la vita utile (§5.11), e alla manutenzione basata su un segnale di degrado osservato invece che sull'età anagrafica (§5.12).</t>
  </si>
  <si>
    <t>A) Curva a vasca da bagno — guasto a cause competitive (§5.10)</t>
  </si>
  <si>
    <t>β₁ — parametro di forma, causa 1 (mortalità infantile)</t>
  </si>
  <si>
    <t>η₁ — vita caratteristica, causa 1 (ore)</t>
  </si>
  <si>
    <t>β₂ — parametro di forma, causa 2 (usura)</t>
  </si>
  <si>
    <t>η₂ — vita caratteristica, causa 2 (ore)</t>
  </si>
  <si>
    <t>λ causa 1 (t)</t>
  </si>
  <si>
    <t>λ causa 2 (t)</t>
  </si>
  <si>
    <t>λ_tot(t)</t>
  </si>
  <si>
    <t>Fase dominante</t>
  </si>
  <si>
    <t>Risultato — punto di minimo rischio nella griglia</t>
  </si>
  <si>
    <t>Valore</t>
  </si>
  <si>
    <t>λ_tot minimo (nella griglia sopra)</t>
  </si>
  <si>
    <t>T corrispondente (ore)</t>
  </si>
  <si>
    <t>R_tot(t) = EXP(-(H₁(t)+H₂(t))) si sostituisce direttamente a R(t) ovunque compaia nel foglio 'Sostituzione Ottimale' (g(T), H(T)) e nel tasso λ usato per il dimensionamento scorte (§6.2): non è un modello decisionale alternativo, è un modo più corretto di costruire l'input R(t)/λ(t) che quelle equazioni già usano.</t>
  </si>
  <si>
    <t>B) Componenti elettronici — mortalità infantile senza usura (§5.11)</t>
  </si>
  <si>
    <t>β_inf — parametro di forma, mortalità infantile</t>
  </si>
  <si>
    <t>η_inf — vita caratteristica, mortalità infantile (ore)</t>
  </si>
  <si>
    <t>MTBF_random — vita media dei guasti casuali indipendenti dall'età (ore)</t>
  </si>
  <si>
    <t>λ_random — tasso di guasto casuale (costante)</t>
  </si>
  <si>
    <t>λ_inf(t)</t>
  </si>
  <si>
    <t>λ_tot(t) = λ_inf(t)+λ_random</t>
  </si>
  <si>
    <t>A differenza del caso a due cause del §5.10, qui λ_tot(t) non risale mai: decresce in modo monotono verso l'asintoto λ_random. Per il risultato classico dell'age replacement (Barlow-Proschan), quando il tasso di guasto non è crescente nessuna sostituzione preventiva su base età è conveniente (l'ottimo T* del §5.6 tende a infinito): la gestione del rischio si sposta su due leve — il rodaggio (burn-in) sulla fase di mortalità infantile, e il dimensionamento delle scorte tramite λ_random nel foglio 'Spare Parts - Dimensionamento' (§6.2), dove qui λ è costante per costruzione lungo l'intera vita utile.</t>
  </si>
  <si>
    <t>C) Manutenzione on-performance — soglia ottimale di intervento (§5.12)</t>
  </si>
  <si>
    <t>Costo per intervento preventivo (€)</t>
  </si>
  <si>
    <t>Costo atteso per evento di guasto (€)</t>
  </si>
  <si>
    <t>Soglia (calo di rendimento)</t>
  </si>
  <si>
    <t>Interventi preventivi/anno</t>
  </si>
  <si>
    <t>Costo preventivo</t>
  </si>
  <si>
    <t>Guasti attesi/anno</t>
  </si>
  <si>
    <t>Costo atteso da guasto</t>
  </si>
  <si>
    <t>Costo totale</t>
  </si>
  <si>
    <t>Risultato — soglia ottimale</t>
  </si>
  <si>
    <t>x* — soglia ottimale (costo totale minimo)</t>
  </si>
  <si>
    <t>Costo totale minimo (€/anno)</t>
  </si>
  <si>
    <t>Spare Parts — dimensionamento della scorta (§6.1-6.2, §6.4, §6.7)</t>
  </si>
  <si>
    <t>Ricambio</t>
  </si>
  <si>
    <t>N</t>
  </si>
  <si>
    <t>Riparabile</t>
  </si>
  <si>
    <t>LT</t>
  </si>
  <si>
    <t>TAT</t>
  </si>
  <si>
    <t>Teff</t>
  </si>
  <si>
    <t>mu</t>
  </si>
  <si>
    <t>m</t>
  </si>
  <si>
    <t>k</t>
  </si>
  <si>
    <t>Ridondanza</t>
  </si>
  <si>
    <t>ServiceLevelTarget</t>
  </si>
  <si>
    <t>Sstar</t>
  </si>
  <si>
    <t>Criticita</t>
  </si>
  <si>
    <t>Note</t>
  </si>
  <si>
    <t>Cuscinetto principale (§5.1)</t>
  </si>
  <si>
    <t>No</t>
  </si>
  <si>
    <t>Alta</t>
  </si>
  <si>
    <t>Motore idraulico (riparabile, ridondante)</t>
  </si>
  <si>
    <t>Si</t>
  </si>
  <si>
    <t>Sensore di prossimità (bassa criticità)</t>
  </si>
  <si>
    <t>Bassa</t>
  </si>
  <si>
    <t>Area di calcolo per S* (non modificare) — indici 0..40:</t>
  </si>
  <si>
    <t>Service Level per un ricambio — dettaglio (§6.2-6.3)</t>
  </si>
  <si>
    <t>Seleziona ricambio:</t>
  </si>
  <si>
    <t>μ del ricambio selezionato</t>
  </si>
  <si>
    <t>Ridondanza (m-k) del ricambio selezionato</t>
  </si>
  <si>
    <t>Service Level target</t>
  </si>
  <si>
    <t>Scorta -&gt; Service Level</t>
  </si>
  <si>
    <t>S (scorta)</t>
  </si>
  <si>
    <t>Service Level = P(X&lt;=S+ridondanza)</t>
  </si>
  <si>
    <t>S* selezionato (primo S che raggiunge il target)</t>
  </si>
  <si>
    <t>Safety Stock — riserva per variabilità di domanda (§6.3)</t>
  </si>
  <si>
    <t>z — fattore per il Service Level scelto</t>
  </si>
  <si>
    <t>σ_domanda — deviazione standard della domanda (pezzi/periodo)</t>
  </si>
  <si>
    <t>Lead Time (stesse unità di periodo di σ)</t>
  </si>
  <si>
    <t>Safety Stock</t>
  </si>
  <si>
    <t>Economia della scorta, Repair vs Replace, Capex/Opex (§6.5-6.6, §6.8)</t>
  </si>
  <si>
    <t>A) Conviene tenere questo ricambio a scorta? (§6.5)</t>
  </si>
  <si>
    <t>Costo del ricambio</t>
  </si>
  <si>
    <t>Costo del capitale (tasso annuo)</t>
  </si>
  <si>
    <t>Costo di stoccaggio annuo</t>
  </si>
  <si>
    <t>Costo certo annuo di tenerlo a scorta</t>
  </si>
  <si>
    <t>Probabilità di doverlo usare in un anno</t>
  </si>
  <si>
    <t>Costo del fermo evitato se disponibile a scorta</t>
  </si>
  <si>
    <t>Costo probabile evitato</t>
  </si>
  <si>
    <t>Conviene tenerlo a scorta?</t>
  </si>
  <si>
    <t>B) Repair vs Replace (§6.6)</t>
  </si>
  <si>
    <t>Costo riparazione</t>
  </si>
  <si>
    <t>Tempo di fermo per riparazione (ore)</t>
  </si>
  <si>
    <t>Costo sostituzione</t>
  </si>
  <si>
    <t>Tempo di fermo per sostituzione (ore)</t>
  </si>
  <si>
    <t>Costo del fermo (€/ora)</t>
  </si>
  <si>
    <t>Costo totale riparazione</t>
  </si>
  <si>
    <t>Costo totale sostituzione</t>
  </si>
  <si>
    <t>Decisione</t>
  </si>
  <si>
    <t>C) Come acquisire la scorta: Capex, Opex a consumo o Opex puro (§6.8)</t>
  </si>
  <si>
    <t>S — numero di ricambi a scorta (da S* del dimensionamento)</t>
  </si>
  <si>
    <t>C — costo unitario del ricambio</t>
  </si>
  <si>
    <t>T — orizzonte di riferimento (vita utile asset, anni)</t>
  </si>
  <si>
    <t>μ — tasso di consumo atteso (pezzi/anno)</t>
  </si>
  <si>
    <t>h — costo di detenzione annuo (% del valore pezzo)</t>
  </si>
  <si>
    <t>C_obs — costo di obsolescenza per pezzo mai usato</t>
  </si>
  <si>
    <t>π — sovrapprezzo su pezzi consumati (Opex a consumo)</t>
  </si>
  <si>
    <t>f — canone annuo di giacenza per pezzo (Opex a consumo)</t>
  </si>
  <si>
    <t>π_u — sovrapprezzo di urgenza (Opex puro)</t>
  </si>
  <si>
    <t>Lead Time per un ordine urgente (anni) — per il rischio Opex puro</t>
  </si>
  <si>
    <t>Ridondanza (m-k) disponibile</t>
  </si>
  <si>
    <t>Ore di funzionamento annue</t>
  </si>
  <si>
    <t>Integrale del capitale immobilizzato (unità-anno)</t>
  </si>
  <si>
    <t>Costo_Capex(S)</t>
  </si>
  <si>
    <t>Costo_Opex(S) — a consumo (conto deposito)</t>
  </si>
  <si>
    <t>μ_LT — pezzi contemporaneamente in ordine (Opex puro)</t>
  </si>
  <si>
    <t>P(X &gt; ridondanza) — frazione di tempo scoperta</t>
  </si>
  <si>
    <t>Costo_OpexPuro (S=0)</t>
  </si>
  <si>
    <t>π* — soglia di indifferenza Capex / Opex a consumo</t>
  </si>
  <si>
    <t>Strategia ottima (costo minimo)</t>
  </si>
  <si>
    <t>Significato di ogni sigla usata nel file, con riferimento al paragrafo del libro (Parte IV, Cap. 4-6)</t>
  </si>
  <si>
    <t>Sigla</t>
  </si>
  <si>
    <t>Significato / formula</t>
  </si>
  <si>
    <t>Rif.</t>
  </si>
  <si>
    <t>Capex / Opex</t>
  </si>
  <si>
    <t>Spesa in conto capitale (ammortizzata) / spesa corrente (a conto economico)</t>
  </si>
  <si>
    <t>§4.2</t>
  </si>
  <si>
    <t>TCO</t>
  </si>
  <si>
    <t>Total Cost of Ownership — costo pieno di possesso attualizzato</t>
  </si>
  <si>
    <t>§4.3</t>
  </si>
  <si>
    <t>NPV</t>
  </si>
  <si>
    <t>Net Present Value — valore attuale netto dei flussi di cassa</t>
  </si>
  <si>
    <t>§4.4</t>
  </si>
  <si>
    <t>ROI</t>
  </si>
  <si>
    <t>Return On Investment — beneficio netto / costo dell'investimento</t>
  </si>
  <si>
    <t>Payback Period</t>
  </si>
  <si>
    <t>Tempo per recuperare l'investimento tramite i flussi di cassa</t>
  </si>
  <si>
    <t>Asset Utilization</t>
  </si>
  <si>
    <t>Output reale / capacità teorica</t>
  </si>
  <si>
    <t>§4.5</t>
  </si>
  <si>
    <t>Mean Time Between Failures — tempo medio tra due guasti</t>
  </si>
  <si>
    <t>§5.1</t>
  </si>
  <si>
    <t>λ (Failure Rate)</t>
  </si>
  <si>
    <t>Tasso di guasto = 1/MTBF</t>
  </si>
  <si>
    <t>MTTR</t>
  </si>
  <si>
    <t>Mean Time To Repair — tempo medio di ripristino dopo un guasto</t>
  </si>
  <si>
    <t>§5.2</t>
  </si>
  <si>
    <t>Availability</t>
  </si>
  <si>
    <t>MTBF / (MTBF + MTTR)</t>
  </si>
  <si>
    <t>§5.3</t>
  </si>
  <si>
    <t>β (parametro di forma Weibull)</t>
  </si>
  <si>
    <t>β&lt;1 mortalità infantile, β=1 guasti casuali, β&gt;1 usura vera e propria</t>
  </si>
  <si>
    <t>§5.6</t>
  </si>
  <si>
    <t>η (vita caratteristica)</t>
  </si>
  <si>
    <t>Età alla quale il 63% della popolazione si è già guastata</t>
  </si>
  <si>
    <t>R(t)</t>
  </si>
  <si>
    <t>Probabilità di sopravvivenza senza guasti fino all'età t = exp(-(t/η)^β)</t>
  </si>
  <si>
    <t>H(t)</t>
  </si>
  <si>
    <t>Rischio cumulato = (t/η)^β = -ln[R(t)]</t>
  </si>
  <si>
    <t>T*</t>
  </si>
  <si>
    <t>Età ottimale di sostituzione preventiva = argmin g(T)</t>
  </si>
  <si>
    <t>§5.6-5.7</t>
  </si>
  <si>
    <t>g(T)</t>
  </si>
  <si>
    <t>Costo medio di sistema per unità di tempo, in funzione dell'età di sostituzione</t>
  </si>
  <si>
    <t>Mp / Mc</t>
  </si>
  <si>
    <t>Durata dell'intervento preventivo / correttivo</t>
  </si>
  <si>
    <t>Cp,tot / Cc,tot</t>
  </si>
  <si>
    <t>Costo pieno (diretto+fermo+extra) dell'evento preventivo / correttivo</t>
  </si>
  <si>
    <t>Np* / Nc*</t>
  </si>
  <si>
    <t>Risorse ottimali (tecnici-equivalenti) per l'intervento preventivo / correttivo</t>
  </si>
  <si>
    <t>§5.8</t>
  </si>
  <si>
    <t>αp / αc</t>
  </si>
  <si>
    <t>Coefficiente di parallelizzazione (elasticità durata-risorse)</t>
  </si>
  <si>
    <t>Fleet size (N)</t>
  </si>
  <si>
    <t>Numero di asset identici nella flotta</t>
  </si>
  <si>
    <t>§6.1</t>
  </si>
  <si>
    <t>Lead Time (LT)</t>
  </si>
  <si>
    <t>Tempo di fornitura per un ricambio acquistato ex novo</t>
  </si>
  <si>
    <t>Turnaround Time — tempo di rientro di un ricambio riparabile</t>
  </si>
  <si>
    <t>§6.2</t>
  </si>
  <si>
    <t>Teorema di Palm</t>
  </si>
  <si>
    <t>Giustifica la Poisson anche per componenti riparabili, usando il tempo medio di riparazione</t>
  </si>
  <si>
    <t>μ (spare parts)</t>
  </si>
  <si>
    <t>Domanda attesa di ricambi = N x λ x T_eff</t>
  </si>
  <si>
    <t>§6.1-6.2</t>
  </si>
  <si>
    <t>Service Level</t>
  </si>
  <si>
    <t>P(X &lt;= S + ridondanza), X ~ Poisson(μ)</t>
  </si>
  <si>
    <t>(m-k) Ridondanza</t>
  </si>
  <si>
    <t>Unità installate in eccesso rispetto al minimo necessario</t>
  </si>
  <si>
    <t>z x σ_domanda x √(Lead Time)</t>
  </si>
  <si>
    <t>§6.3</t>
  </si>
  <si>
    <t>ABC / Criticality Analysis</t>
  </si>
  <si>
    <t>Classificazione per valore economico / per impatto operativo in caso di mancanza</t>
  </si>
  <si>
    <t>§6.4</t>
  </si>
  <si>
    <t>Repair vs Replace</t>
  </si>
  <si>
    <t>Conviene riparare se C_rip+T_rip·C_fermo &lt; C_sost+T_sost·C_fermo</t>
  </si>
  <si>
    <t>§6.6</t>
  </si>
  <si>
    <t>π* (soglia Capex/Opex)</t>
  </si>
  <si>
    <t>Sovrapprezzo massimo accettabile in conto deposito oltre cui conviene il Capex</t>
  </si>
  <si>
    <t>§6.8</t>
  </si>
  <si>
    <t>Opex puro</t>
  </si>
  <si>
    <t>Nessuna scorta pre-posizionata: si acquista solo al bisogno, esposti al Lead Time pieno</t>
  </si>
  <si>
    <t>Competing risks</t>
  </si>
  <si>
    <t>Più cause di guasto indipendenti; i tassi si sommano: λ_tot(t) = Σ λ_j(t)</t>
  </si>
  <si>
    <t>§5.10</t>
  </si>
  <si>
    <t>Curva a vasca da bagno</t>
  </si>
  <si>
    <t>Somma di un tasso decrescente (mortalità infantile) e uno crescente (usura); il minimo separa le due leve d'azione</t>
  </si>
  <si>
    <t>β_inf / η_inf</t>
  </si>
  <si>
    <t>Parametri Weibull della fase di mortalità infantile (difetti di fabbricazione)</t>
  </si>
  <si>
    <t>§5.10-5.11</t>
  </si>
  <si>
    <t>λ_random</t>
  </si>
  <si>
    <t>Tasso di guasto casuale costante = 1/MTBF_random, senza termine di usura</t>
  </si>
  <si>
    <t>§5.11</t>
  </si>
  <si>
    <t>Burn-in (rodaggio)</t>
  </si>
  <si>
    <t>Screening pre-servizio che consuma la fase discendente di mortalità infantile prima della messa in produzione</t>
  </si>
  <si>
    <t>Barlow-Proschan (age replacement)</t>
  </si>
  <si>
    <t>Con tasso di guasto non crescente (IFR assente), nessuna sostituzione preventiva su base età è conveniente</t>
  </si>
  <si>
    <t>x(t), x_lim</t>
  </si>
  <si>
    <t>Segnale di degrado osservato (es. deriva termica, calo di rendimento) e soglia di intervento</t>
  </si>
  <si>
    <t>§5.12</t>
  </si>
  <si>
    <t>γ (rischi proporzionali)</t>
  </si>
  <si>
    <t>Sensibilità del tasso di guasto al segnale: λ(t) = λ₀ × e^(γ·x(t))</t>
  </si>
  <si>
    <t>x* — soglia ottimale</t>
  </si>
  <si>
    <t>Livello di segnale che minimizza costo preventivo + costo atteso da guasto, analogo a T* ma sull'asse del segnale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</si>
</sst>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0.0%"/>
    <numFmt numFmtId="165" formatCode="#,##0\ &quot;h&quot;"/>
    <numFmt numFmtId="166" formatCode="#,##0\ &quot;€&quot;"/>
    <numFmt numFmtId="167" formatCode="0.0000"/>
    <numFmt numFmtId="168" formatCode="#,##0.00\ &quot;€&quot;"/>
    <numFmt numFmtId="169" formatCode="#,##0.0"/>
    <numFmt numFmtId="170" formatCode="0.000000"/>
    <numFmt numFmtId="171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FFFFFF"/>
      <name val="Calibri"/>
      <family val="2"/>
    </font>
    <font>
      <i/>
      <sz val="12"/>
      <color rgb="FFD9E2F3"/>
      <name val="Calibri"/>
      <family val="2"/>
    </font>
    <font>
      <b/>
      <sz val="12"/>
      <color rgb="FFFFFFFF"/>
      <name val="Calibri"/>
      <family val="2"/>
    </font>
    <font>
      <b/>
      <sz val="11"/>
      <color rgb="FF2E75B6"/>
      <name val="Calibri"/>
      <family val="2"/>
    </font>
    <font>
      <b/>
      <sz val="10"/>
      <name val="Calibri"/>
      <family val="2"/>
    </font>
    <font>
      <b/>
      <sz val="10"/>
      <color rgb="FF7F6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b/>
      <sz val="12"/>
      <color rgb="FF1F3864"/>
      <name val="Calibri"/>
      <family val="2"/>
    </font>
    <font>
      <b/>
      <sz val="12"/>
      <name val="Calibri"/>
      <family val="2"/>
    </font>
    <font>
      <i/>
      <sz val="9"/>
      <color rgb="FF7F7F7F"/>
      <name val="Calibri"/>
      <family val="2"/>
    </font>
    <font>
      <sz val="8"/>
      <color rgb="FFA6A6A6"/>
      <name val="Calibri"/>
      <family val="2"/>
    </font>
    <font>
      <b/>
      <sz val="11"/>
      <color rgb="FF7F6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D9E2F3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vertical="top" wrapText="1"/>
    </xf>
    <xf numFmtId="0" fontId="3" fillId="3" borderId="0" xfId="0" applyFont="1" applyFill="1" applyAlignment="1">
      <alignment horizontal="left" vertical="center" indent="1"/>
    </xf>
    <xf numFmtId="0" fontId="4" fillId="0" borderId="0" xfId="0" applyFont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5" fillId="0" borderId="0" xfId="0" applyFont="1" applyAlignment="1">
      <alignment horizontal="left" vertical="center"/>
    </xf>
    <xf numFmtId="164" fontId="6" fillId="4" borderId="1" xfId="0" applyNumberFormat="1" applyFont="1" applyFill="1" applyBorder="1" applyAlignment="1">
      <alignment horizontal="right" vertical="center"/>
    </xf>
    <xf numFmtId="165" fontId="6" fillId="4" borderId="1" xfId="0" applyNumberFormat="1" applyFont="1" applyFill="1" applyBorder="1" applyAlignment="1">
      <alignment horizontal="right" vertical="center"/>
    </xf>
    <xf numFmtId="2" fontId="6" fillId="4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166" fontId="6" fillId="4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right" vertical="center"/>
    </xf>
    <xf numFmtId="166" fontId="0" fillId="5" borderId="1" xfId="0" applyNumberFormat="1" applyFill="1" applyBorder="1" applyAlignment="1">
      <alignment horizontal="right" vertical="center"/>
    </xf>
    <xf numFmtId="2" fontId="8" fillId="5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/>
    <xf numFmtId="0" fontId="0" fillId="0" borderId="1" xfId="0" applyBorder="1"/>
    <xf numFmtId="166" fontId="0" fillId="5" borderId="1" xfId="0" applyNumberFormat="1" applyFill="1" applyBorder="1"/>
    <xf numFmtId="1" fontId="6" fillId="4" borderId="1" xfId="0" applyNumberFormat="1" applyFont="1" applyFill="1" applyBorder="1" applyAlignment="1">
      <alignment horizontal="right" vertical="center"/>
    </xf>
    <xf numFmtId="164" fontId="8" fillId="5" borderId="1" xfId="0" applyNumberFormat="1" applyFont="1" applyFill="1" applyBorder="1" applyAlignment="1">
      <alignment horizontal="right" vertical="center"/>
    </xf>
    <xf numFmtId="167" fontId="0" fillId="5" borderId="1" xfId="0" applyNumberFormat="1" applyFill="1" applyBorder="1"/>
    <xf numFmtId="166" fontId="8" fillId="5" borderId="1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166" fontId="9" fillId="5" borderId="1" xfId="0" applyNumberFormat="1" applyFont="1" applyFill="1" applyBorder="1" applyAlignment="1">
      <alignment horizontal="right" vertical="center"/>
    </xf>
    <xf numFmtId="3" fontId="6" fillId="4" borderId="1" xfId="0" applyNumberFormat="1" applyFont="1" applyFill="1" applyBorder="1" applyAlignment="1">
      <alignment horizontal="right" vertical="center"/>
    </xf>
    <xf numFmtId="3" fontId="8" fillId="5" borderId="1" xfId="0" applyNumberFormat="1" applyFont="1" applyFill="1" applyBorder="1" applyAlignment="1">
      <alignment horizontal="right" vertical="center"/>
    </xf>
    <xf numFmtId="168" fontId="8" fillId="5" borderId="1" xfId="0" applyNumberFormat="1" applyFont="1" applyFill="1" applyBorder="1" applyAlignment="1">
      <alignment horizontal="right" vertical="center"/>
    </xf>
    <xf numFmtId="165" fontId="8" fillId="5" borderId="1" xfId="0" applyNumberFormat="1" applyFont="1" applyFill="1" applyBorder="1" applyAlignment="1">
      <alignment horizontal="right" vertical="center"/>
    </xf>
    <xf numFmtId="167" fontId="8" fillId="5" borderId="1" xfId="0" applyNumberFormat="1" applyFont="1" applyFill="1" applyBorder="1" applyAlignment="1">
      <alignment horizontal="right" vertical="center"/>
    </xf>
    <xf numFmtId="10" fontId="8" fillId="5" borderId="1" xfId="0" applyNumberFormat="1" applyFont="1" applyFill="1" applyBorder="1" applyAlignment="1">
      <alignment horizontal="right" vertical="center"/>
    </xf>
    <xf numFmtId="168" fontId="6" fillId="4" borderId="1" xfId="0" applyNumberFormat="1" applyFont="1" applyFill="1" applyBorder="1" applyAlignment="1">
      <alignment horizontal="right" vertical="center"/>
    </xf>
    <xf numFmtId="1" fontId="8" fillId="5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2" fontId="0" fillId="5" borderId="1" xfId="0" applyNumberFormat="1" applyFill="1" applyBorder="1" applyAlignment="1">
      <alignment horizontal="right" vertical="center"/>
    </xf>
    <xf numFmtId="165" fontId="0" fillId="0" borderId="1" xfId="0" applyNumberFormat="1" applyBorder="1"/>
    <xf numFmtId="169" fontId="0" fillId="5" borderId="1" xfId="0" applyNumberFormat="1" applyFill="1" applyBorder="1"/>
    <xf numFmtId="167" fontId="0" fillId="5" borderId="1" xfId="0" applyNumberFormat="1" applyFill="1" applyBorder="1" applyAlignment="1">
      <alignment horizontal="right" vertical="center"/>
    </xf>
    <xf numFmtId="165" fontId="0" fillId="5" borderId="1" xfId="0" applyNumberFormat="1" applyFill="1" applyBorder="1" applyAlignment="1">
      <alignment horizontal="right" vertical="center"/>
    </xf>
    <xf numFmtId="10" fontId="0" fillId="5" borderId="1" xfId="0" applyNumberFormat="1" applyFill="1" applyBorder="1" applyAlignment="1">
      <alignment horizontal="right" vertical="center"/>
    </xf>
    <xf numFmtId="1" fontId="0" fillId="5" borderId="1" xfId="0" applyNumberForma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0" fontId="10" fillId="0" borderId="0" xfId="0" applyFont="1"/>
    <xf numFmtId="10" fontId="0" fillId="5" borderId="1" xfId="0" applyNumberFormat="1" applyFill="1" applyBorder="1"/>
    <xf numFmtId="0" fontId="8" fillId="5" borderId="1" xfId="0" applyFont="1" applyFill="1" applyBorder="1" applyAlignment="1">
      <alignment horizontal="right" vertical="center"/>
    </xf>
    <xf numFmtId="167" fontId="6" fillId="4" borderId="1" xfId="0" applyNumberFormat="1" applyFont="1" applyFill="1" applyBorder="1" applyAlignment="1">
      <alignment horizontal="right" vertical="center"/>
    </xf>
    <xf numFmtId="4" fontId="8" fillId="5" borderId="1" xfId="0" applyNumberFormat="1" applyFont="1" applyFill="1" applyBorder="1" applyAlignment="1">
      <alignment horizontal="right" vertical="center"/>
    </xf>
    <xf numFmtId="0" fontId="7" fillId="2" borderId="0" xfId="0" applyFont="1" applyFill="1"/>
    <xf numFmtId="2" fontId="6" fillId="4" borderId="3" xfId="0" applyNumberFormat="1" applyFont="1" applyFill="1" applyBorder="1" applyAlignment="1">
      <alignment horizontal="right" vertical="center"/>
    </xf>
    <xf numFmtId="165" fontId="6" fillId="4" borderId="3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 wrapText="1"/>
    </xf>
    <xf numFmtId="170" fontId="8" fillId="5" borderId="3" xfId="0" applyNumberFormat="1" applyFont="1" applyFill="1" applyBorder="1" applyAlignment="1">
      <alignment horizontal="right" vertical="center"/>
    </xf>
    <xf numFmtId="0" fontId="8" fillId="5" borderId="3" xfId="0" applyFont="1" applyFill="1" applyBorder="1" applyAlignment="1">
      <alignment horizontal="left" vertical="center" wrapText="1"/>
    </xf>
    <xf numFmtId="165" fontId="8" fillId="5" borderId="3" xfId="0" applyNumberFormat="1" applyFont="1" applyFill="1" applyBorder="1" applyAlignment="1">
      <alignment horizontal="right" vertical="center"/>
    </xf>
    <xf numFmtId="166" fontId="6" fillId="4" borderId="3" xfId="0" applyNumberFormat="1" applyFont="1" applyFill="1" applyBorder="1" applyAlignment="1">
      <alignment horizontal="right" vertical="center"/>
    </xf>
    <xf numFmtId="9" fontId="6" fillId="4" borderId="3" xfId="0" applyNumberFormat="1" applyFont="1" applyFill="1" applyBorder="1" applyAlignment="1">
      <alignment horizontal="right" vertical="center"/>
    </xf>
    <xf numFmtId="171" fontId="6" fillId="4" borderId="3" xfId="0" applyNumberFormat="1" applyFont="1" applyFill="1" applyBorder="1" applyAlignment="1">
      <alignment horizontal="right" vertical="center"/>
    </xf>
    <xf numFmtId="166" fontId="8" fillId="5" borderId="3" xfId="0" applyNumberFormat="1" applyFont="1" applyFill="1" applyBorder="1" applyAlignment="1">
      <alignment horizontal="right" vertical="center"/>
    </xf>
    <xf numFmtId="9" fontId="8" fillId="5" borderId="3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0" fillId="0" borderId="0" xfId="0"/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14" fillId="0" borderId="0" xfId="0" applyFont="1" applyAlignment="1">
      <alignment vertical="top" wrapText="1"/>
    </xf>
    <xf numFmtId="0" fontId="3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3" fillId="4" borderId="1" xfId="0" applyFont="1" applyFill="1" applyBorder="1"/>
    <xf numFmtId="0" fontId="0" fillId="0" borderId="2" xfId="0" applyBorder="1"/>
    <xf numFmtId="11" fontId="0" fillId="5" borderId="1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14"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1F3864"/>
      </font>
      <fill>
        <patternFill patternType="solid">
          <fgColor rgb="FFBDD7EE"/>
        </patternFill>
      </fill>
    </dxf>
    <dxf>
      <font>
        <b/>
        <color rgb="FF1F3864"/>
      </font>
      <fill>
        <patternFill patternType="solid">
          <fgColor rgb="FFBDD7EE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ill>
        <patternFill patternType="solid">
          <fgColor rgb="FFE2EFDA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C00000"/>
      </font>
      <fill>
        <patternFill patternType="solid">
          <fgColor rgb="FFF8CBA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it-IT"/>
              <a:t>Capex vs Opex — costo cumulato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'TCO e Investimento'!$B$17</c:f>
              <c:strCache>
                <c:ptCount val="1"/>
                <c:pt idx="0">
                  <c:v>Costo cumulato Capex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'TCO e Investimento'!$A$18:$A$27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'TCO e Investimento'!$B$18:$B$27</c:f>
              <c:numCache>
                <c:formatCode>#,##0\ "€"</c:formatCode>
                <c:ptCount val="10"/>
                <c:pt idx="0">
                  <c:v>120000</c:v>
                </c:pt>
                <c:pt idx="1">
                  <c:v>120000</c:v>
                </c:pt>
                <c:pt idx="2">
                  <c:v>120000</c:v>
                </c:pt>
                <c:pt idx="3">
                  <c:v>120000</c:v>
                </c:pt>
                <c:pt idx="4">
                  <c:v>120000</c:v>
                </c:pt>
                <c:pt idx="5">
                  <c:v>120000</c:v>
                </c:pt>
                <c:pt idx="6">
                  <c:v>120000</c:v>
                </c:pt>
                <c:pt idx="7">
                  <c:v>120000</c:v>
                </c:pt>
                <c:pt idx="8">
                  <c:v>120000</c:v>
                </c:pt>
                <c:pt idx="9">
                  <c:v>120000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280-4C58-9A0F-DED8135681E6}"/>
            </c:ext>
          </c:extLst>
        </c:ser>
        <c:ser>
          <c:idx val="1"/>
          <c:order val="1"/>
          <c:tx>
            <c:strRef>
              <c:f>'TCO e Investimento'!$C$17</c:f>
              <c:strCache>
                <c:ptCount val="1"/>
                <c:pt idx="0">
                  <c:v>Costo cumulato Opex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'TCO e Investimento'!$A$18:$A$27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'TCO e Investimento'!$C$18:$C$27</c:f>
              <c:numCache>
                <c:formatCode>#,##0\ "€"</c:formatCode>
                <c:ptCount val="10"/>
                <c:pt idx="0">
                  <c:v>24000</c:v>
                </c:pt>
                <c:pt idx="1">
                  <c:v>48000</c:v>
                </c:pt>
                <c:pt idx="2">
                  <c:v>72000</c:v>
                </c:pt>
                <c:pt idx="3">
                  <c:v>96000</c:v>
                </c:pt>
                <c:pt idx="4">
                  <c:v>120000</c:v>
                </c:pt>
                <c:pt idx="5">
                  <c:v>144000</c:v>
                </c:pt>
                <c:pt idx="6">
                  <c:v>168000</c:v>
                </c:pt>
                <c:pt idx="7">
                  <c:v>192000</c:v>
                </c:pt>
                <c:pt idx="8">
                  <c:v>216000</c:v>
                </c:pt>
                <c:pt idx="9">
                  <c:v>240000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280-4C58-9A0F-DED813568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Anno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€</a:t>
                </a:r>
              </a:p>
            </c:rich>
          </c:tx>
          <c:overlay val="1"/>
        </c:title>
        <c:numFmt formatCode="#,##0\ &quot;€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it-IT"/>
              <a:t>g(T) — costo medio di sistema per ora, al variare dell'età di sostituzione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'Sostituzione Ottimale'!$D$52</c:f>
              <c:strCache>
                <c:ptCount val="1"/>
                <c:pt idx="0">
                  <c:v>g(T) Scenario 1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'Sostituzione Ottimale'!$A$53:$A$152</c:f>
              <c:numCache>
                <c:formatCode>#,##0\ "h"</c:formatCode>
                <c:ptCount val="100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  <c:pt idx="9">
                  <c:v>1000</c:v>
                </c:pt>
                <c:pt idx="10">
                  <c:v>1100</c:v>
                </c:pt>
                <c:pt idx="11">
                  <c:v>1200</c:v>
                </c:pt>
                <c:pt idx="12">
                  <c:v>1300</c:v>
                </c:pt>
                <c:pt idx="13">
                  <c:v>1400</c:v>
                </c:pt>
                <c:pt idx="14">
                  <c:v>1500</c:v>
                </c:pt>
                <c:pt idx="15">
                  <c:v>1600</c:v>
                </c:pt>
                <c:pt idx="16">
                  <c:v>1700</c:v>
                </c:pt>
                <c:pt idx="17">
                  <c:v>1800</c:v>
                </c:pt>
                <c:pt idx="18">
                  <c:v>1900</c:v>
                </c:pt>
                <c:pt idx="19">
                  <c:v>2000</c:v>
                </c:pt>
                <c:pt idx="20">
                  <c:v>2100</c:v>
                </c:pt>
                <c:pt idx="21">
                  <c:v>2200</c:v>
                </c:pt>
                <c:pt idx="22">
                  <c:v>2300</c:v>
                </c:pt>
                <c:pt idx="23">
                  <c:v>2400</c:v>
                </c:pt>
                <c:pt idx="24">
                  <c:v>2500</c:v>
                </c:pt>
                <c:pt idx="25">
                  <c:v>2600</c:v>
                </c:pt>
                <c:pt idx="26">
                  <c:v>2700</c:v>
                </c:pt>
                <c:pt idx="27">
                  <c:v>2800</c:v>
                </c:pt>
                <c:pt idx="28">
                  <c:v>2900</c:v>
                </c:pt>
                <c:pt idx="29">
                  <c:v>3000</c:v>
                </c:pt>
                <c:pt idx="30">
                  <c:v>3100</c:v>
                </c:pt>
                <c:pt idx="31">
                  <c:v>3200</c:v>
                </c:pt>
                <c:pt idx="32">
                  <c:v>3300</c:v>
                </c:pt>
                <c:pt idx="33">
                  <c:v>3400</c:v>
                </c:pt>
                <c:pt idx="34">
                  <c:v>3500</c:v>
                </c:pt>
                <c:pt idx="35">
                  <c:v>3600</c:v>
                </c:pt>
                <c:pt idx="36">
                  <c:v>3700</c:v>
                </c:pt>
                <c:pt idx="37">
                  <c:v>3800</c:v>
                </c:pt>
                <c:pt idx="38">
                  <c:v>3900</c:v>
                </c:pt>
                <c:pt idx="39">
                  <c:v>4000</c:v>
                </c:pt>
                <c:pt idx="40">
                  <c:v>4100</c:v>
                </c:pt>
                <c:pt idx="41">
                  <c:v>4200</c:v>
                </c:pt>
                <c:pt idx="42">
                  <c:v>4300</c:v>
                </c:pt>
                <c:pt idx="43">
                  <c:v>4400</c:v>
                </c:pt>
                <c:pt idx="44">
                  <c:v>4500</c:v>
                </c:pt>
                <c:pt idx="45">
                  <c:v>4600</c:v>
                </c:pt>
                <c:pt idx="46">
                  <c:v>4700</c:v>
                </c:pt>
                <c:pt idx="47">
                  <c:v>4800</c:v>
                </c:pt>
                <c:pt idx="48">
                  <c:v>4900</c:v>
                </c:pt>
                <c:pt idx="49">
                  <c:v>5000</c:v>
                </c:pt>
                <c:pt idx="50">
                  <c:v>5100</c:v>
                </c:pt>
                <c:pt idx="51">
                  <c:v>5200</c:v>
                </c:pt>
                <c:pt idx="52">
                  <c:v>5300</c:v>
                </c:pt>
                <c:pt idx="53">
                  <c:v>5400</c:v>
                </c:pt>
                <c:pt idx="54">
                  <c:v>5500</c:v>
                </c:pt>
                <c:pt idx="55">
                  <c:v>5600</c:v>
                </c:pt>
                <c:pt idx="56">
                  <c:v>5700</c:v>
                </c:pt>
                <c:pt idx="57">
                  <c:v>5800</c:v>
                </c:pt>
                <c:pt idx="58">
                  <c:v>5900</c:v>
                </c:pt>
                <c:pt idx="59">
                  <c:v>6000</c:v>
                </c:pt>
                <c:pt idx="60">
                  <c:v>6100</c:v>
                </c:pt>
                <c:pt idx="61">
                  <c:v>6200</c:v>
                </c:pt>
                <c:pt idx="62">
                  <c:v>6300</c:v>
                </c:pt>
                <c:pt idx="63">
                  <c:v>6400</c:v>
                </c:pt>
                <c:pt idx="64">
                  <c:v>6500</c:v>
                </c:pt>
                <c:pt idx="65">
                  <c:v>6600</c:v>
                </c:pt>
                <c:pt idx="66">
                  <c:v>6700</c:v>
                </c:pt>
                <c:pt idx="67">
                  <c:v>6800</c:v>
                </c:pt>
                <c:pt idx="68">
                  <c:v>6900</c:v>
                </c:pt>
                <c:pt idx="69">
                  <c:v>7000</c:v>
                </c:pt>
                <c:pt idx="70">
                  <c:v>7100</c:v>
                </c:pt>
                <c:pt idx="71">
                  <c:v>7200</c:v>
                </c:pt>
                <c:pt idx="72">
                  <c:v>7300</c:v>
                </c:pt>
                <c:pt idx="73">
                  <c:v>7400</c:v>
                </c:pt>
                <c:pt idx="74">
                  <c:v>7500</c:v>
                </c:pt>
                <c:pt idx="75">
                  <c:v>7600</c:v>
                </c:pt>
                <c:pt idx="76">
                  <c:v>7700</c:v>
                </c:pt>
                <c:pt idx="77">
                  <c:v>7800</c:v>
                </c:pt>
                <c:pt idx="78">
                  <c:v>7900</c:v>
                </c:pt>
                <c:pt idx="79">
                  <c:v>8000</c:v>
                </c:pt>
                <c:pt idx="80">
                  <c:v>8100</c:v>
                </c:pt>
                <c:pt idx="81">
                  <c:v>8200</c:v>
                </c:pt>
                <c:pt idx="82">
                  <c:v>8300</c:v>
                </c:pt>
                <c:pt idx="83">
                  <c:v>8400</c:v>
                </c:pt>
                <c:pt idx="84">
                  <c:v>8500</c:v>
                </c:pt>
                <c:pt idx="85">
                  <c:v>8600</c:v>
                </c:pt>
                <c:pt idx="86">
                  <c:v>8700</c:v>
                </c:pt>
                <c:pt idx="87">
                  <c:v>8800</c:v>
                </c:pt>
                <c:pt idx="88">
                  <c:v>8900</c:v>
                </c:pt>
                <c:pt idx="89">
                  <c:v>9000</c:v>
                </c:pt>
                <c:pt idx="90">
                  <c:v>9100</c:v>
                </c:pt>
                <c:pt idx="91">
                  <c:v>9200</c:v>
                </c:pt>
                <c:pt idx="92">
                  <c:v>9300</c:v>
                </c:pt>
                <c:pt idx="93">
                  <c:v>9400</c:v>
                </c:pt>
                <c:pt idx="94">
                  <c:v>9500</c:v>
                </c:pt>
                <c:pt idx="95">
                  <c:v>9600</c:v>
                </c:pt>
                <c:pt idx="96">
                  <c:v>9700</c:v>
                </c:pt>
                <c:pt idx="97">
                  <c:v>9800</c:v>
                </c:pt>
                <c:pt idx="98">
                  <c:v>9900</c:v>
                </c:pt>
                <c:pt idx="99">
                  <c:v>10000</c:v>
                </c:pt>
              </c:numCache>
            </c:numRef>
          </c:cat>
          <c:val>
            <c:numRef>
              <c:f>'Sostituzione Ottimale'!$D$53:$D$152</c:f>
              <c:numCache>
                <c:formatCode>0.0000</c:formatCode>
                <c:ptCount val="100"/>
                <c:pt idx="0">
                  <c:v>29.13397516611111</c:v>
                </c:pt>
                <c:pt idx="1">
                  <c:v>14.800388862123988</c:v>
                </c:pt>
                <c:pt idx="2">
                  <c:v>9.9416544413622923</c:v>
                </c:pt>
                <c:pt idx="3">
                  <c:v>7.5068923276066712</c:v>
                </c:pt>
                <c:pt idx="4">
                  <c:v>6.0519753990934051</c:v>
                </c:pt>
                <c:pt idx="5">
                  <c:v>5.0905756912202991</c:v>
                </c:pt>
                <c:pt idx="6">
                  <c:v>4.4129817948391175</c:v>
                </c:pt>
                <c:pt idx="7">
                  <c:v>3.9138797735660704</c:v>
                </c:pt>
                <c:pt idx="8">
                  <c:v>3.5345588215713719</c:v>
                </c:pt>
                <c:pt idx="9">
                  <c:v>3.2396864858772432</c:v>
                </c:pt>
                <c:pt idx="10">
                  <c:v>3.0067156404719095</c:v>
                </c:pt>
                <c:pt idx="11">
                  <c:v>2.8205736560522081</c:v>
                </c:pt>
                <c:pt idx="12">
                  <c:v>2.6707963780939794</c:v>
                </c:pt>
                <c:pt idx="13">
                  <c:v>2.5498873114075415</c:v>
                </c:pt>
                <c:pt idx="14">
                  <c:v>2.4523315049505778</c:v>
                </c:pt>
                <c:pt idx="15">
                  <c:v>2.3739783154444791</c:v>
                </c:pt>
                <c:pt idx="16">
                  <c:v>2.3116414749822174</c:v>
                </c:pt>
                <c:pt idx="17">
                  <c:v>2.2628321294812554</c:v>
                </c:pt>
                <c:pt idx="18">
                  <c:v>2.2255759593058211</c:v>
                </c:pt>
                <c:pt idx="19">
                  <c:v>2.198285014110319</c:v>
                </c:pt>
                <c:pt idx="20">
                  <c:v>2.1796660620868535</c:v>
                </c:pt>
                <c:pt idx="21">
                  <c:v>2.1686538603379248</c:v>
                </c:pt>
                <c:pt idx="22">
                  <c:v>2.1643617784737321</c:v>
                </c:pt>
                <c:pt idx="23">
                  <c:v>2.1660447257126441</c:v>
                </c:pt>
                <c:pt idx="24">
                  <c:v>2.1730709447835981</c:v>
                </c:pt>
                <c:pt idx="25">
                  <c:v>2.1849002914498077</c:v>
                </c:pt>
                <c:pt idx="26">
                  <c:v>2.2010673226941173</c:v>
                </c:pt>
                <c:pt idx="27">
                  <c:v>2.2211679948215064</c:v>
                </c:pt>
                <c:pt idx="28">
                  <c:v>2.2448491027710182</c:v>
                </c:pt>
                <c:pt idx="29">
                  <c:v>2.2717998231133167</c:v>
                </c:pt>
                <c:pt idx="30">
                  <c:v>2.3017448873856696</c:v>
                </c:pt>
                <c:pt idx="31">
                  <c:v>2.3344390304943121</c:v>
                </c:pt>
                <c:pt idx="32">
                  <c:v>2.3696624448445252</c:v>
                </c:pt>
                <c:pt idx="33">
                  <c:v>2.4072170340828611</c:v>
                </c:pt>
                <c:pt idx="34">
                  <c:v>2.4469233073319376</c:v>
                </c:pt>
                <c:pt idx="35">
                  <c:v>2.4886177900673538</c:v>
                </c:pt>
                <c:pt idx="36">
                  <c:v>2.5321508544928166</c:v>
                </c:pt>
                <c:pt idx="37">
                  <c:v>2.5773848926636851</c:v>
                </c:pt>
                <c:pt idx="38">
                  <c:v>2.6241927713064448</c:v>
                </c:pt>
                <c:pt idx="39">
                  <c:v>2.6724565194545584</c:v>
                </c:pt>
                <c:pt idx="40">
                  <c:v>2.7220662095277666</c:v>
                </c:pt>
                <c:pt idx="41">
                  <c:v>2.7729189999558401</c:v>
                </c:pt>
                <c:pt idx="42">
                  <c:v>2.8249183133609139</c:v>
                </c:pt>
                <c:pt idx="43">
                  <c:v>2.8779731290189376</c:v>
                </c:pt>
                <c:pt idx="44">
                  <c:v>2.9319973720878174</c:v>
                </c:pt>
                <c:pt idx="45">
                  <c:v>2.9869093851216366</c:v>
                </c:pt>
                <c:pt idx="46">
                  <c:v>3.0426314698425672</c:v>
                </c:pt>
                <c:pt idx="47">
                  <c:v>3.0990894891354848</c:v>
                </c:pt>
                <c:pt idx="48">
                  <c:v>3.156212520858193</c:v>
                </c:pt>
                <c:pt idx="49">
                  <c:v>3.2139325563952061</c:v>
                </c:pt>
                <c:pt idx="50">
                  <c:v>3.2721842379828718</c:v>
                </c:pt>
                <c:pt idx="51">
                  <c:v>3.3309046297429816</c:v>
                </c:pt>
                <c:pt idx="52">
                  <c:v>3.3900330181168545</c:v>
                </c:pt>
                <c:pt idx="53">
                  <c:v>3.4495107380207766</c:v>
                </c:pt>
                <c:pt idx="54">
                  <c:v>3.5092810215691741</c:v>
                </c:pt>
                <c:pt idx="55">
                  <c:v>3.5692888666527756</c:v>
                </c:pt>
                <c:pt idx="56">
                  <c:v>3.6294809230295764</c:v>
                </c:pt>
                <c:pt idx="57">
                  <c:v>3.6898053938991828</c:v>
                </c:pt>
                <c:pt idx="58">
                  <c:v>3.7502119511954706</c:v>
                </c:pt>
                <c:pt idx="59">
                  <c:v>3.8106516630566505</c:v>
                </c:pt>
                <c:pt idx="60">
                  <c:v>3.8710769321223841</c:v>
                </c:pt>
                <c:pt idx="61">
                  <c:v>3.9314414434697516</c:v>
                </c:pt>
                <c:pt idx="62">
                  <c:v>3.9917001211383174</c:v>
                </c:pt>
                <c:pt idx="63">
                  <c:v>4.0518090923129124</c:v>
                </c:pt>
                <c:pt idx="64">
                  <c:v>4.1117256583340449</c:v>
                </c:pt>
                <c:pt idx="65">
                  <c:v>4.1714082717928731</c:v>
                </c:pt>
                <c:pt idx="66">
                  <c:v>4.2308165190423042</c:v>
                </c:pt>
                <c:pt idx="67">
                  <c:v>4.289911107520151</c:v>
                </c:pt>
                <c:pt idx="68">
                  <c:v>4.3486538573356883</c:v>
                </c:pt>
                <c:pt idx="69">
                  <c:v>4.4070076966188161</c:v>
                </c:pt>
                <c:pt idx="70">
                  <c:v>4.4649366601725129</c:v>
                </c:pt>
                <c:pt idx="71">
                  <c:v>4.522405891005179</c:v>
                </c:pt>
                <c:pt idx="72">
                  <c:v>4.5793816443507769</c:v>
                </c:pt>
                <c:pt idx="73">
                  <c:v>4.6358312938119672</c:v>
                </c:pt>
                <c:pt idx="74">
                  <c:v>4.6917233392854154</c:v>
                </c:pt>
                <c:pt idx="75">
                  <c:v>4.747027416349539</c:v>
                </c:pt>
                <c:pt idx="76">
                  <c:v>4.8017143068137376</c:v>
                </c:pt>
                <c:pt idx="77">
                  <c:v>4.8557559501448919</c:v>
                </c:pt>
                <c:pt idx="78">
                  <c:v>4.9091254555021138</c:v>
                </c:pt>
                <c:pt idx="79">
                  <c:v>4.9617971141244634</c:v>
                </c:pt>
                <c:pt idx="80">
                  <c:v>5.0137464118292474</c:v>
                </c:pt>
                <c:pt idx="81">
                  <c:v>5.0649500413903414</c:v>
                </c:pt>
                <c:pt idx="82">
                  <c:v>5.1153859145774403</c:v>
                </c:pt>
                <c:pt idx="83">
                  <c:v>5.1650331736479576</c:v>
                </c:pt>
                <c:pt idx="84">
                  <c:v>5.2138722020940262</c:v>
                </c:pt>
                <c:pt idx="85">
                  <c:v>5.2618846344574735</c:v>
                </c:pt>
                <c:pt idx="86">
                  <c:v>5.3090533650361822</c:v>
                </c:pt>
                <c:pt idx="87">
                  <c:v>5.3553625553157564</c:v>
                </c:pt>
                <c:pt idx="88">
                  <c:v>5.4007976399711488</c:v>
                </c:pt>
                <c:pt idx="89">
                  <c:v>5.4453453312938276</c:v>
                </c:pt>
                <c:pt idx="90">
                  <c:v>5.4889936219111979</c:v>
                </c:pt>
                <c:pt idx="91">
                  <c:v>5.5317317856765884</c:v>
                </c:pt>
                <c:pt idx="92">
                  <c:v>5.573550376619858</c:v>
                </c:pt>
                <c:pt idx="93">
                  <c:v>5.6144412258608396</c:v>
                </c:pt>
                <c:pt idx="94">
                  <c:v>5.6543974364004175</c:v>
                </c:pt>
                <c:pt idx="95">
                  <c:v>5.693413375716708</c:v>
                </c:pt>
                <c:pt idx="96">
                  <c:v>5.7314846661070318</c:v>
                </c:pt>
                <c:pt idx="97">
                  <c:v>5.7686081727296887</c:v>
                </c:pt>
                <c:pt idx="98">
                  <c:v>5.8047819893130939</c:v>
                </c:pt>
                <c:pt idx="99">
                  <c:v>5.8400054215136095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9-44F5-8BDC-FA2BA9D2A6F4}"/>
            </c:ext>
          </c:extLst>
        </c:ser>
        <c:ser>
          <c:idx val="1"/>
          <c:order val="1"/>
          <c:tx>
            <c:strRef>
              <c:f>'Sostituzione Ottimale'!$E$52</c:f>
              <c:strCache>
                <c:ptCount val="1"/>
                <c:pt idx="0">
                  <c:v>g(T) Scenario 2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'Sostituzione Ottimale'!$A$53:$A$152</c:f>
              <c:numCache>
                <c:formatCode>#,##0\ "h"</c:formatCode>
                <c:ptCount val="100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  <c:pt idx="9">
                  <c:v>1000</c:v>
                </c:pt>
                <c:pt idx="10">
                  <c:v>1100</c:v>
                </c:pt>
                <c:pt idx="11">
                  <c:v>1200</c:v>
                </c:pt>
                <c:pt idx="12">
                  <c:v>1300</c:v>
                </c:pt>
                <c:pt idx="13">
                  <c:v>1400</c:v>
                </c:pt>
                <c:pt idx="14">
                  <c:v>1500</c:v>
                </c:pt>
                <c:pt idx="15">
                  <c:v>1600</c:v>
                </c:pt>
                <c:pt idx="16">
                  <c:v>1700</c:v>
                </c:pt>
                <c:pt idx="17">
                  <c:v>1800</c:v>
                </c:pt>
                <c:pt idx="18">
                  <c:v>1900</c:v>
                </c:pt>
                <c:pt idx="19">
                  <c:v>2000</c:v>
                </c:pt>
                <c:pt idx="20">
                  <c:v>2100</c:v>
                </c:pt>
                <c:pt idx="21">
                  <c:v>2200</c:v>
                </c:pt>
                <c:pt idx="22">
                  <c:v>2300</c:v>
                </c:pt>
                <c:pt idx="23">
                  <c:v>2400</c:v>
                </c:pt>
                <c:pt idx="24">
                  <c:v>2500</c:v>
                </c:pt>
                <c:pt idx="25">
                  <c:v>2600</c:v>
                </c:pt>
                <c:pt idx="26">
                  <c:v>2700</c:v>
                </c:pt>
                <c:pt idx="27">
                  <c:v>2800</c:v>
                </c:pt>
                <c:pt idx="28">
                  <c:v>2900</c:v>
                </c:pt>
                <c:pt idx="29">
                  <c:v>3000</c:v>
                </c:pt>
                <c:pt idx="30">
                  <c:v>3100</c:v>
                </c:pt>
                <c:pt idx="31">
                  <c:v>3200</c:v>
                </c:pt>
                <c:pt idx="32">
                  <c:v>3300</c:v>
                </c:pt>
                <c:pt idx="33">
                  <c:v>3400</c:v>
                </c:pt>
                <c:pt idx="34">
                  <c:v>3500</c:v>
                </c:pt>
                <c:pt idx="35">
                  <c:v>3600</c:v>
                </c:pt>
                <c:pt idx="36">
                  <c:v>3700</c:v>
                </c:pt>
                <c:pt idx="37">
                  <c:v>3800</c:v>
                </c:pt>
                <c:pt idx="38">
                  <c:v>3900</c:v>
                </c:pt>
                <c:pt idx="39">
                  <c:v>4000</c:v>
                </c:pt>
                <c:pt idx="40">
                  <c:v>4100</c:v>
                </c:pt>
                <c:pt idx="41">
                  <c:v>4200</c:v>
                </c:pt>
                <c:pt idx="42">
                  <c:v>4300</c:v>
                </c:pt>
                <c:pt idx="43">
                  <c:v>4400</c:v>
                </c:pt>
                <c:pt idx="44">
                  <c:v>4500</c:v>
                </c:pt>
                <c:pt idx="45">
                  <c:v>4600</c:v>
                </c:pt>
                <c:pt idx="46">
                  <c:v>4700</c:v>
                </c:pt>
                <c:pt idx="47">
                  <c:v>4800</c:v>
                </c:pt>
                <c:pt idx="48">
                  <c:v>4900</c:v>
                </c:pt>
                <c:pt idx="49">
                  <c:v>5000</c:v>
                </c:pt>
                <c:pt idx="50">
                  <c:v>5100</c:v>
                </c:pt>
                <c:pt idx="51">
                  <c:v>5200</c:v>
                </c:pt>
                <c:pt idx="52">
                  <c:v>5300</c:v>
                </c:pt>
                <c:pt idx="53">
                  <c:v>5400</c:v>
                </c:pt>
                <c:pt idx="54">
                  <c:v>5500</c:v>
                </c:pt>
                <c:pt idx="55">
                  <c:v>5600</c:v>
                </c:pt>
                <c:pt idx="56">
                  <c:v>5700</c:v>
                </c:pt>
                <c:pt idx="57">
                  <c:v>5800</c:v>
                </c:pt>
                <c:pt idx="58">
                  <c:v>5900</c:v>
                </c:pt>
                <c:pt idx="59">
                  <c:v>6000</c:v>
                </c:pt>
                <c:pt idx="60">
                  <c:v>6100</c:v>
                </c:pt>
                <c:pt idx="61">
                  <c:v>6200</c:v>
                </c:pt>
                <c:pt idx="62">
                  <c:v>6300</c:v>
                </c:pt>
                <c:pt idx="63">
                  <c:v>6400</c:v>
                </c:pt>
                <c:pt idx="64">
                  <c:v>6500</c:v>
                </c:pt>
                <c:pt idx="65">
                  <c:v>6600</c:v>
                </c:pt>
                <c:pt idx="66">
                  <c:v>6700</c:v>
                </c:pt>
                <c:pt idx="67">
                  <c:v>6800</c:v>
                </c:pt>
                <c:pt idx="68">
                  <c:v>6900</c:v>
                </c:pt>
                <c:pt idx="69">
                  <c:v>7000</c:v>
                </c:pt>
                <c:pt idx="70">
                  <c:v>7100</c:v>
                </c:pt>
                <c:pt idx="71">
                  <c:v>7200</c:v>
                </c:pt>
                <c:pt idx="72">
                  <c:v>7300</c:v>
                </c:pt>
                <c:pt idx="73">
                  <c:v>7400</c:v>
                </c:pt>
                <c:pt idx="74">
                  <c:v>7500</c:v>
                </c:pt>
                <c:pt idx="75">
                  <c:v>7600</c:v>
                </c:pt>
                <c:pt idx="76">
                  <c:v>7700</c:v>
                </c:pt>
                <c:pt idx="77">
                  <c:v>7800</c:v>
                </c:pt>
                <c:pt idx="78">
                  <c:v>7900</c:v>
                </c:pt>
                <c:pt idx="79">
                  <c:v>8000</c:v>
                </c:pt>
                <c:pt idx="80">
                  <c:v>8100</c:v>
                </c:pt>
                <c:pt idx="81">
                  <c:v>8200</c:v>
                </c:pt>
                <c:pt idx="82">
                  <c:v>8300</c:v>
                </c:pt>
                <c:pt idx="83">
                  <c:v>8400</c:v>
                </c:pt>
                <c:pt idx="84">
                  <c:v>8500</c:v>
                </c:pt>
                <c:pt idx="85">
                  <c:v>8600</c:v>
                </c:pt>
                <c:pt idx="86">
                  <c:v>8700</c:v>
                </c:pt>
                <c:pt idx="87">
                  <c:v>8800</c:v>
                </c:pt>
                <c:pt idx="88">
                  <c:v>8900</c:v>
                </c:pt>
                <c:pt idx="89">
                  <c:v>9000</c:v>
                </c:pt>
                <c:pt idx="90">
                  <c:v>9100</c:v>
                </c:pt>
                <c:pt idx="91">
                  <c:v>9200</c:v>
                </c:pt>
                <c:pt idx="92">
                  <c:v>9300</c:v>
                </c:pt>
                <c:pt idx="93">
                  <c:v>9400</c:v>
                </c:pt>
                <c:pt idx="94">
                  <c:v>9500</c:v>
                </c:pt>
                <c:pt idx="95">
                  <c:v>9600</c:v>
                </c:pt>
                <c:pt idx="96">
                  <c:v>9700</c:v>
                </c:pt>
                <c:pt idx="97">
                  <c:v>9800</c:v>
                </c:pt>
                <c:pt idx="98">
                  <c:v>9900</c:v>
                </c:pt>
                <c:pt idx="99">
                  <c:v>10000</c:v>
                </c:pt>
              </c:numCache>
            </c:numRef>
          </c:cat>
          <c:val>
            <c:numRef>
              <c:f>'Sostituzione Ottimale'!$E$53:$E$152</c:f>
              <c:numCache>
                <c:formatCode>0.0000</c:formatCode>
                <c:ptCount val="100"/>
                <c:pt idx="0">
                  <c:v>5.601840413472936</c:v>
                </c:pt>
                <c:pt idx="1">
                  <c:v>2.8046357378510671</c:v>
                </c:pt>
                <c:pt idx="2">
                  <c:v>1.8716670857674085</c:v>
                </c:pt>
                <c:pt idx="3">
                  <c:v>1.4055759852739853</c:v>
                </c:pt>
                <c:pt idx="4">
                  <c:v>1.1264265646894132</c:v>
                </c:pt>
                <c:pt idx="5">
                  <c:v>0.94083638993857932</c:v>
                </c:pt>
                <c:pt idx="6">
                  <c:v>0.80876421992241998</c:v>
                </c:pt>
                <c:pt idx="7">
                  <c:v>0.71018113634361157</c:v>
                </c:pt>
                <c:pt idx="8">
                  <c:v>0.6339556391429757</c:v>
                </c:pt>
                <c:pt idx="9">
                  <c:v>0.57340618138367427</c:v>
                </c:pt>
                <c:pt idx="10">
                  <c:v>0.5242790598657967</c:v>
                </c:pt>
                <c:pt idx="11">
                  <c:v>0.48373713654081812</c:v>
                </c:pt>
                <c:pt idx="12">
                  <c:v>0.44981519725072905</c:v>
                </c:pt>
                <c:pt idx="13">
                  <c:v>0.42110867189087259</c:v>
                </c:pt>
                <c:pt idx="14">
                  <c:v>0.39658683427312497</c:v>
                </c:pt>
                <c:pt idx="15">
                  <c:v>0.37547603229377735</c:v>
                </c:pt>
                <c:pt idx="16">
                  <c:v>0.3571841182117525</c:v>
                </c:pt>
                <c:pt idx="17">
                  <c:v>0.34125006020091259</c:v>
                </c:pt>
                <c:pt idx="18">
                  <c:v>0.32730945999436395</c:v>
                </c:pt>
                <c:pt idx="19">
                  <c:v>0.31507041087039495</c:v>
                </c:pt>
                <c:pt idx="20">
                  <c:v>0.30429625013065154</c:v>
                </c:pt>
                <c:pt idx="21">
                  <c:v>0.29479301301665839</c:v>
                </c:pt>
                <c:pt idx="22">
                  <c:v>0.28640015765626636</c:v>
                </c:pt>
                <c:pt idx="23">
                  <c:v>0.27898360733029132</c:v>
                </c:pt>
                <c:pt idx="24">
                  <c:v>0.27243046146525646</c:v>
                </c:pt>
                <c:pt idx="25">
                  <c:v>0.26664492627535191</c:v>
                </c:pt>
                <c:pt idx="26">
                  <c:v>0.26154514900051229</c:v>
                </c:pt>
                <c:pt idx="27">
                  <c:v>0.25706072996207657</c:v>
                </c:pt>
                <c:pt idx="28">
                  <c:v>0.25313074892167775</c:v>
                </c:pt>
                <c:pt idx="29">
                  <c:v>0.24970218581810719</c:v>
                </c:pt>
                <c:pt idx="30">
                  <c:v>0.24672864689411833</c:v>
                </c:pt>
                <c:pt idx="31">
                  <c:v>0.24416932946345843</c:v>
                </c:pt>
                <c:pt idx="32">
                  <c:v>0.24198817474340772</c:v>
                </c:pt>
                <c:pt idx="33">
                  <c:v>0.24015317007270631</c:v>
                </c:pt>
                <c:pt idx="34">
                  <c:v>0.23863577067168942</c:v>
                </c:pt>
                <c:pt idx="35">
                  <c:v>0.23741041772988347</c:v>
                </c:pt>
                <c:pt idx="36">
                  <c:v>0.23645413462298426</c:v>
                </c:pt>
                <c:pt idx="37">
                  <c:v>0.23574618689009175</c:v>
                </c:pt>
                <c:pt idx="38">
                  <c:v>0.23526779454776928</c:v>
                </c:pt>
                <c:pt idx="39">
                  <c:v>0.23500188760067495</c:v>
                </c:pt>
                <c:pt idx="40">
                  <c:v>0.23493289739072942</c:v>
                </c:pt>
                <c:pt idx="41">
                  <c:v>0.23504657782725605</c:v>
                </c:pt>
                <c:pt idx="42">
                  <c:v>0.23532985164802478</c:v>
                </c:pt>
                <c:pt idx="43">
                  <c:v>0.23577067774218805</c:v>
                </c:pt>
                <c:pt idx="44">
                  <c:v>0.23635793627103036</c:v>
                </c:pt>
                <c:pt idx="45">
                  <c:v>0.23708132888952602</c:v>
                </c:pt>
                <c:pt idx="46">
                  <c:v>0.23793129183022818</c:v>
                </c:pt>
                <c:pt idx="47">
                  <c:v>0.23889891998360369</c:v>
                </c:pt>
                <c:pt idx="48">
                  <c:v>0.23997590041310635</c:v>
                </c:pt>
                <c:pt idx="49">
                  <c:v>0.24115445399271995</c:v>
                </c:pt>
                <c:pt idx="50">
                  <c:v>0.24242728406012792</c:v>
                </c:pt>
                <c:pt idx="51">
                  <c:v>0.24378753114854043</c:v>
                </c:pt>
                <c:pt idx="52">
                  <c:v>0.24522873300122461</c:v>
                </c:pt>
                <c:pt idx="53">
                  <c:v>0.24674478919029186</c:v>
                </c:pt>
                <c:pt idx="54">
                  <c:v>0.2483299297595539</c:v>
                </c:pt>
                <c:pt idx="55">
                  <c:v>0.24997868739371151</c:v>
                </c:pt>
                <c:pt idx="56">
                  <c:v>0.25168587268554993</c:v>
                </c:pt>
                <c:pt idx="57">
                  <c:v>0.2534465521314303</c:v>
                </c:pt>
                <c:pt idx="58">
                  <c:v>0.255256028535016</c:v>
                </c:pt>
                <c:pt idx="59">
                  <c:v>0.25710982354134504</c:v>
                </c:pt>
                <c:pt idx="60">
                  <c:v>0.2590036620592856</c:v>
                </c:pt>
                <c:pt idx="61">
                  <c:v>0.26093345836108806</c:v>
                </c:pt>
                <c:pt idx="62">
                  <c:v>0.26289530367401809</c:v>
                </c:pt>
                <c:pt idx="63">
                  <c:v>0.26488545510159661</c:v>
                </c:pt>
                <c:pt idx="64">
                  <c:v>0.26690032573136779</c:v>
                </c:pt>
                <c:pt idx="65">
                  <c:v>0.26893647580284047</c:v>
                </c:pt>
                <c:pt idx="66">
                  <c:v>0.27099060482369192</c:v>
                </c:pt>
                <c:pt idx="67">
                  <c:v>0.27305954453483983</c:v>
                </c:pt>
                <c:pt idx="68">
                  <c:v>0.27514025263584058</c:v>
                </c:pt>
                <c:pt idx="69">
                  <c:v>0.27722980719151324</c:v>
                </c:pt>
                <c:pt idx="70">
                  <c:v>0.27932540164891134</c:v>
                </c:pt>
                <c:pt idx="71">
                  <c:v>0.28142434040094705</c:v>
                </c:pt>
                <c:pt idx="72">
                  <c:v>0.2835240348392517</c:v>
                </c:pt>
                <c:pt idx="73">
                  <c:v>0.28562199984436942</c:v>
                </c:pt>
                <c:pt idx="74">
                  <c:v>0.28771585066622007</c:v>
                </c:pt>
                <c:pt idx="75">
                  <c:v>0.2898033001520367</c:v>
                </c:pt>
                <c:pt idx="76">
                  <c:v>0.29188215628275416</c:v>
                </c:pt>
                <c:pt idx="77">
                  <c:v>0.29395031998216575</c:v>
                </c:pt>
                <c:pt idx="78">
                  <c:v>0.29600578316614162</c:v>
                </c:pt>
                <c:pt idx="79">
                  <c:v>0.2980466270018533</c:v>
                </c:pt>
                <c:pt idx="80">
                  <c:v>0.30007102034933042</c:v>
                </c:pt>
                <c:pt idx="81">
                  <c:v>0.30207721835981904</c:v>
                </c:pt>
                <c:pt idx="82">
                  <c:v>0.30406356120735123</c:v>
                </c:pt>
                <c:pt idx="83">
                  <c:v>0.3060284729317026</c:v>
                </c:pt>
                <c:pt idx="84">
                  <c:v>0.307970460372535</c:v>
                </c:pt>
                <c:pt idx="85">
                  <c:v>0.30988811217601203</c:v>
                </c:pt>
                <c:pt idx="86">
                  <c:v>0.3117800978565608</c:v>
                </c:pt>
                <c:pt idx="87">
                  <c:v>0.31364516689775107</c:v>
                </c:pt>
                <c:pt idx="88">
                  <c:v>0.31548214787747747</c:v>
                </c:pt>
                <c:pt idx="89">
                  <c:v>0.31728994760379087</c:v>
                </c:pt>
                <c:pt idx="90">
                  <c:v>0.31906755024882222</c:v>
                </c:pt>
                <c:pt idx="91">
                  <c:v>0.32081401646930358</c:v>
                </c:pt>
                <c:pt idx="92">
                  <c:v>0.32252848250321181</c:v>
                </c:pt>
                <c:pt idx="93">
                  <c:v>0.32421015923304775</c:v>
                </c:pt>
                <c:pt idx="94">
                  <c:v>0.32585833120723312</c:v>
                </c:pt>
                <c:pt idx="95">
                  <c:v>0.32747235561204741</c:v>
                </c:pt>
                <c:pt idx="96">
                  <c:v>0.32905166118744983</c:v>
                </c:pt>
                <c:pt idx="97">
                  <c:v>0.33059574708104211</c:v>
                </c:pt>
                <c:pt idx="98">
                  <c:v>0.33210418163531358</c:v>
                </c:pt>
                <c:pt idx="99">
                  <c:v>0.33357660110418824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9-44F5-8BDC-FA2BA9D2A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T (ore)</a:t>
                </a:r>
              </a:p>
            </c:rich>
          </c:tx>
          <c:overlay val="1"/>
        </c:title>
        <c:numFmt formatCode="#,##0\ &quot;h&quot;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€/ora</a:t>
                </a:r>
              </a:p>
            </c:rich>
          </c:tx>
          <c:overlay val="1"/>
        </c:title>
        <c:numFmt formatCode="0.00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47625</xdr:colOff>
      <xdr:row>3</xdr:row>
      <xdr:rowOff>47625</xdr:rowOff>
    </xdr:from>
    <xdr:ext cx="576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160</xdr:row>
      <xdr:rowOff>0</xdr:rowOff>
    </xdr:from>
    <xdr:ext cx="864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ConfrontoAsset" displayName="TabellaConfrontoAsset" ref="A4:F9">
  <autoFilter ref="A4:F9" xr:uid="{00000000-0009-0000-0100-000001000000}"/>
  <tableColumns count="6">
    <tableColumn id="1" xr3:uid="{00000000-0010-0000-0000-000001000000}" name="Alternativa"/>
    <tableColumn id="2" xr3:uid="{00000000-0010-0000-0000-000002000000}" name="PrezzoAcquisto"/>
    <tableColumn id="3" xr3:uid="{00000000-0010-0000-0000-000003000000}" name="CostoEnergiaAnno"/>
    <tableColumn id="4" xr3:uid="{00000000-0010-0000-0000-000004000000}" name="CostoManutAnno"/>
    <tableColumn id="5" xr3:uid="{00000000-0010-0000-0000-000005000000}" name="OrizzonteAnni"/>
    <tableColumn id="6" xr3:uid="{00000000-0010-0000-0000-000006000000}" name="CostoTotale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OttimizzazioneManutenzione" displayName="TabellaOttimizzazioneManutenzione" ref="A30:E34">
  <autoFilter ref="A30:E34" xr:uid="{00000000-0009-0000-0100-000002000000}"/>
  <tableColumns count="5">
    <tableColumn id="1" xr3:uid="{00000000-0010-0000-0100-000001000000}" name="InterventiAnno"/>
    <tableColumn id="2" xr3:uid="{00000000-0010-0000-0100-000002000000}" name="CostoPreventivo"/>
    <tableColumn id="3" xr3:uid="{00000000-0010-0000-0100-000003000000}" name="GuastiAttesiAnno"/>
    <tableColumn id="4" xr3:uid="{00000000-0010-0000-0100-000004000000}" name="CostoAttesoGuasto"/>
    <tableColumn id="5" xr3:uid="{00000000-0010-0000-0100-000005000000}" name="CostoTotale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aGrigliaWeibull" displayName="TabellaGrigliaWeibull" ref="A52:E152">
  <autoFilter ref="A52:E152" xr:uid="{00000000-0009-0000-0100-000003000000}"/>
  <tableColumns count="5">
    <tableColumn id="1" xr3:uid="{00000000-0010-0000-0200-000001000000}" name="T (ore)"/>
    <tableColumn id="2" xr3:uid="{00000000-0010-0000-0200-000002000000}" name="R(T)">
      <calculatedColumnFormula>EXP(-POWER((A53/$B$7),$B$6))</calculatedColumnFormula>
    </tableColumn>
    <tableColumn id="3" xr3:uid="{00000000-0010-0000-0200-000003000000}" name="∫R(t)dt cumulato"/>
    <tableColumn id="4" xr3:uid="{00000000-0010-0000-0200-000004000000}" name="g(T) Scenario 1"/>
    <tableColumn id="5" xr3:uid="{00000000-0010-0000-0200-000005000000}" name="g(T) Scenario 2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laSpareParts" displayName="TabellaSpareParts" ref="A3:O16">
  <autoFilter ref="A3:O16" xr:uid="{00000000-0009-0000-0100-000004000000}"/>
  <tableColumns count="15">
    <tableColumn id="1" xr3:uid="{00000000-0010-0000-0300-000001000000}" name="Ricambio"/>
    <tableColumn id="2" xr3:uid="{00000000-0010-0000-0300-000002000000}" name="N"/>
    <tableColumn id="3" xr3:uid="{00000000-0010-0000-0300-000003000000}" name="MTBF"/>
    <tableColumn id="4" xr3:uid="{00000000-0010-0000-0300-000004000000}" name="Riparabile"/>
    <tableColumn id="5" xr3:uid="{00000000-0010-0000-0300-000005000000}" name="LT"/>
    <tableColumn id="6" xr3:uid="{00000000-0010-0000-0300-000006000000}" name="TAT"/>
    <tableColumn id="7" xr3:uid="{00000000-0010-0000-0300-000007000000}" name="Teff"/>
    <tableColumn id="8" xr3:uid="{00000000-0010-0000-0300-000008000000}" name="mu"/>
    <tableColumn id="9" xr3:uid="{00000000-0010-0000-0300-000009000000}" name="m"/>
    <tableColumn id="10" xr3:uid="{00000000-0010-0000-0300-00000A000000}" name="k"/>
    <tableColumn id="11" xr3:uid="{00000000-0010-0000-0300-00000B000000}" name="Ridondanza"/>
    <tableColumn id="12" xr3:uid="{00000000-0010-0000-0300-00000C000000}" name="ServiceLevelTarget"/>
    <tableColumn id="13" xr3:uid="{00000000-0010-0000-0300-00000D000000}" name="Sstar"/>
    <tableColumn id="14" xr3:uid="{00000000-0010-0000-0300-00000E000000}" name="Criticita"/>
    <tableColumn id="15" xr3:uid="{00000000-0010-0000-0300-00000F000000}" name="Not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showGridLines="0" topLeftCell="A2" workbookViewId="0">
      <selection sqref="A1:H1"/>
    </sheetView>
  </sheetViews>
  <sheetFormatPr defaultRowHeight="15" x14ac:dyDescent="0.25"/>
  <cols>
    <col min="1" max="2" width="26" customWidth="1"/>
    <col min="3" max="8" width="22" customWidth="1"/>
  </cols>
  <sheetData>
    <row r="1" spans="1:8" ht="33.950000000000003" customHeight="1" x14ac:dyDescent="0.25">
      <c r="A1" s="64" t="s">
        <v>0</v>
      </c>
      <c r="B1" s="62"/>
      <c r="C1" s="62"/>
      <c r="D1" s="62"/>
      <c r="E1" s="62"/>
      <c r="F1" s="62"/>
      <c r="G1" s="62"/>
      <c r="H1" s="62"/>
    </row>
    <row r="2" spans="1:8" ht="18" customHeight="1" x14ac:dyDescent="0.25">
      <c r="A2" s="63" t="s">
        <v>1</v>
      </c>
      <c r="B2" s="62"/>
      <c r="C2" s="62"/>
      <c r="D2" s="62"/>
      <c r="E2" s="62"/>
      <c r="F2" s="62"/>
      <c r="G2" s="62"/>
      <c r="H2" s="62"/>
    </row>
    <row r="4" spans="1:8" ht="45.95" customHeight="1" x14ac:dyDescent="0.25">
      <c r="A4" s="61" t="s">
        <v>2</v>
      </c>
      <c r="B4" s="62"/>
      <c r="C4" s="62"/>
      <c r="D4" s="62"/>
      <c r="E4" s="62"/>
      <c r="F4" s="62"/>
      <c r="G4" s="62"/>
      <c r="H4" s="62"/>
    </row>
    <row r="6" spans="1:8" ht="21.95" customHeight="1" x14ac:dyDescent="0.25">
      <c r="A6" s="65" t="s">
        <v>3</v>
      </c>
      <c r="B6" s="62"/>
      <c r="C6" s="62"/>
      <c r="D6" s="62"/>
      <c r="E6" s="62"/>
      <c r="F6" s="62"/>
      <c r="G6" s="62"/>
      <c r="H6" s="62"/>
    </row>
    <row r="7" spans="1:8" ht="39.950000000000003" customHeight="1" x14ac:dyDescent="0.25">
      <c r="A7" s="3" t="s">
        <v>4</v>
      </c>
      <c r="B7" s="61" t="s">
        <v>5</v>
      </c>
      <c r="C7" s="62"/>
      <c r="D7" s="62"/>
      <c r="E7" s="62"/>
      <c r="F7" s="62"/>
      <c r="G7" s="62"/>
      <c r="H7" s="62"/>
    </row>
    <row r="8" spans="1:8" ht="39.950000000000003" customHeight="1" x14ac:dyDescent="0.25">
      <c r="A8" s="3" t="s">
        <v>6</v>
      </c>
      <c r="B8" s="61" t="s">
        <v>7</v>
      </c>
      <c r="C8" s="62"/>
      <c r="D8" s="62"/>
      <c r="E8" s="62"/>
      <c r="F8" s="62"/>
      <c r="G8" s="62"/>
      <c r="H8" s="62"/>
    </row>
    <row r="9" spans="1:8" ht="39.950000000000003" customHeight="1" x14ac:dyDescent="0.25">
      <c r="A9" s="3" t="s">
        <v>8</v>
      </c>
      <c r="B9" s="61" t="s">
        <v>9</v>
      </c>
      <c r="C9" s="62"/>
      <c r="D9" s="62"/>
      <c r="E9" s="62"/>
      <c r="F9" s="62"/>
      <c r="G9" s="62"/>
      <c r="H9" s="62"/>
    </row>
    <row r="10" spans="1:8" ht="39.950000000000003" customHeight="1" x14ac:dyDescent="0.25">
      <c r="A10" s="3" t="s">
        <v>10</v>
      </c>
      <c r="B10" s="61" t="s">
        <v>11</v>
      </c>
      <c r="C10" s="62"/>
      <c r="D10" s="62"/>
      <c r="E10" s="62"/>
      <c r="F10" s="62"/>
      <c r="G10" s="62"/>
      <c r="H10" s="62"/>
    </row>
    <row r="11" spans="1:8" ht="39.950000000000003" customHeight="1" x14ac:dyDescent="0.25">
      <c r="A11" s="3" t="s">
        <v>12</v>
      </c>
      <c r="B11" s="61" t="s">
        <v>13</v>
      </c>
      <c r="C11" s="62"/>
      <c r="D11" s="62"/>
      <c r="E11" s="62"/>
      <c r="F11" s="62"/>
      <c r="G11" s="62"/>
      <c r="H11" s="62"/>
    </row>
    <row r="12" spans="1:8" ht="39.950000000000003" customHeight="1" x14ac:dyDescent="0.25">
      <c r="A12" s="3" t="s">
        <v>14</v>
      </c>
      <c r="B12" s="61" t="s">
        <v>15</v>
      </c>
      <c r="C12" s="62"/>
      <c r="D12" s="62"/>
      <c r="E12" s="62"/>
      <c r="F12" s="62"/>
      <c r="G12" s="62"/>
      <c r="H12" s="62"/>
    </row>
    <row r="13" spans="1:8" ht="39.950000000000003" customHeight="1" x14ac:dyDescent="0.25">
      <c r="A13" s="3" t="s">
        <v>16</v>
      </c>
      <c r="B13" s="61" t="s">
        <v>17</v>
      </c>
      <c r="C13" s="62"/>
      <c r="D13" s="62"/>
      <c r="E13" s="62"/>
      <c r="F13" s="62"/>
      <c r="G13" s="62"/>
      <c r="H13" s="62"/>
    </row>
    <row r="14" spans="1:8" ht="39.950000000000003" customHeight="1" x14ac:dyDescent="0.25">
      <c r="A14" s="3" t="s">
        <v>18</v>
      </c>
      <c r="B14" s="61" t="s">
        <v>19</v>
      </c>
      <c r="C14" s="62"/>
      <c r="D14" s="62"/>
      <c r="E14" s="62"/>
      <c r="F14" s="62"/>
      <c r="G14" s="62"/>
      <c r="H14" s="62"/>
    </row>
    <row r="15" spans="1:8" ht="45" x14ac:dyDescent="0.25">
      <c r="A15" s="3" t="s">
        <v>20</v>
      </c>
      <c r="B15" s="1" t="s">
        <v>21</v>
      </c>
    </row>
    <row r="16" spans="1:8" ht="21.95" customHeight="1" x14ac:dyDescent="0.25">
      <c r="A16" s="62"/>
      <c r="B16" s="62"/>
      <c r="C16" s="62"/>
      <c r="D16" s="62"/>
      <c r="E16" s="62"/>
      <c r="F16" s="62"/>
      <c r="G16" s="62"/>
      <c r="H16" s="62"/>
    </row>
    <row r="17" spans="1:8" ht="15.75" x14ac:dyDescent="0.25">
      <c r="A17" s="2" t="s">
        <v>22</v>
      </c>
      <c r="B17" s="62"/>
      <c r="C17" s="62"/>
      <c r="D17" s="62"/>
      <c r="E17" s="62"/>
      <c r="F17" s="62"/>
      <c r="G17" s="62"/>
      <c r="H17" s="62"/>
    </row>
    <row r="18" spans="1:8" x14ac:dyDescent="0.25">
      <c r="A18" s="4"/>
      <c r="B18" s="62" t="s">
        <v>23</v>
      </c>
      <c r="C18" s="62"/>
      <c r="D18" s="62"/>
      <c r="E18" s="62"/>
      <c r="F18" s="62"/>
      <c r="G18" s="62"/>
      <c r="H18" s="62"/>
    </row>
    <row r="19" spans="1:8" x14ac:dyDescent="0.25">
      <c r="A19" s="5"/>
      <c r="B19" s="62" t="s">
        <v>24</v>
      </c>
      <c r="C19" s="62"/>
      <c r="D19" s="62"/>
      <c r="E19" s="62"/>
      <c r="F19" s="62"/>
      <c r="G19" s="62"/>
      <c r="H19" s="62"/>
    </row>
    <row r="20" spans="1:8" x14ac:dyDescent="0.25">
      <c r="A20" s="6"/>
      <c r="B20" t="s">
        <v>25</v>
      </c>
    </row>
    <row r="21" spans="1:8" ht="21.95" customHeight="1" x14ac:dyDescent="0.25">
      <c r="A21" s="62"/>
      <c r="B21" s="62"/>
      <c r="C21" s="62"/>
      <c r="D21" s="62"/>
      <c r="E21" s="62"/>
      <c r="F21" s="62"/>
      <c r="G21" s="62"/>
      <c r="H21" s="62"/>
    </row>
    <row r="22" spans="1:8" ht="45.95" customHeight="1" x14ac:dyDescent="0.25">
      <c r="A22" s="65" t="s">
        <v>26</v>
      </c>
      <c r="B22" s="62"/>
      <c r="C22" s="62"/>
      <c r="D22" s="62"/>
      <c r="E22" s="62"/>
      <c r="F22" s="62"/>
      <c r="G22" s="62"/>
      <c r="H22" s="62"/>
    </row>
    <row r="23" spans="1:8" ht="225" x14ac:dyDescent="0.25">
      <c r="A23" s="1" t="s">
        <v>27</v>
      </c>
    </row>
  </sheetData>
  <mergeCells count="18">
    <mergeCell ref="A22:H22"/>
    <mergeCell ref="A2:H2"/>
    <mergeCell ref="A16:H16"/>
    <mergeCell ref="B12:H12"/>
    <mergeCell ref="B7:H7"/>
    <mergeCell ref="A1:H1"/>
    <mergeCell ref="B10:H10"/>
    <mergeCell ref="B11:H11"/>
    <mergeCell ref="A6:H6"/>
    <mergeCell ref="A4:H4"/>
    <mergeCell ref="B14:H14"/>
    <mergeCell ref="B8:H8"/>
    <mergeCell ref="A21:H21"/>
    <mergeCell ref="B17:H17"/>
    <mergeCell ref="B9:H9"/>
    <mergeCell ref="B13:H13"/>
    <mergeCell ref="B18:H18"/>
    <mergeCell ref="B19:H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showGridLines="0" workbookViewId="0">
      <selection sqref="A1:D1"/>
    </sheetView>
  </sheetViews>
  <sheetFormatPr defaultRowHeight="15" x14ac:dyDescent="0.25"/>
  <cols>
    <col min="1" max="1" width="42" customWidth="1"/>
    <col min="2" max="2" width="14" customWidth="1"/>
    <col min="3" max="3" width="8" customWidth="1"/>
    <col min="4" max="4" width="55" customWidth="1"/>
  </cols>
  <sheetData>
    <row r="1" spans="1:4" ht="33.950000000000003" customHeight="1" x14ac:dyDescent="0.25">
      <c r="A1" s="64" t="s">
        <v>28</v>
      </c>
      <c r="B1" s="62"/>
      <c r="C1" s="62"/>
      <c r="D1" s="62"/>
    </row>
    <row r="2" spans="1:4" ht="18" customHeight="1" x14ac:dyDescent="0.25">
      <c r="A2" s="63" t="s">
        <v>29</v>
      </c>
      <c r="B2" s="62"/>
      <c r="C2" s="62"/>
      <c r="D2" s="62"/>
    </row>
    <row r="4" spans="1:4" ht="21.95" customHeight="1" x14ac:dyDescent="0.25">
      <c r="A4" s="65" t="s">
        <v>30</v>
      </c>
      <c r="B4" s="62"/>
      <c r="C4" s="62"/>
      <c r="D4" s="62"/>
    </row>
    <row r="5" spans="1:4" x14ac:dyDescent="0.25">
      <c r="A5" s="7" t="s">
        <v>31</v>
      </c>
      <c r="B5" s="8">
        <v>0.05</v>
      </c>
      <c r="C5" t="s">
        <v>32</v>
      </c>
      <c r="D5" t="s">
        <v>33</v>
      </c>
    </row>
    <row r="6" spans="1:4" x14ac:dyDescent="0.25">
      <c r="A6" s="7" t="s">
        <v>34</v>
      </c>
      <c r="B6" s="9">
        <v>8760</v>
      </c>
      <c r="D6" t="s">
        <v>35</v>
      </c>
    </row>
    <row r="8" spans="1:4" ht="21.95" customHeight="1" x14ac:dyDescent="0.25">
      <c r="A8" s="65" t="s">
        <v>36</v>
      </c>
      <c r="B8" s="62"/>
      <c r="C8" s="62"/>
      <c r="D8" s="62"/>
    </row>
    <row r="9" spans="1:4" x14ac:dyDescent="0.25">
      <c r="A9" s="7" t="s">
        <v>37</v>
      </c>
      <c r="B9" s="8">
        <v>0.95</v>
      </c>
      <c r="D9" t="s">
        <v>38</v>
      </c>
    </row>
    <row r="10" spans="1:4" x14ac:dyDescent="0.25">
      <c r="A10" s="7" t="s">
        <v>39</v>
      </c>
      <c r="B10" s="10">
        <v>1.65</v>
      </c>
      <c r="D10" t="s">
        <v>40</v>
      </c>
    </row>
  </sheetData>
  <mergeCells count="4">
    <mergeCell ref="A1:D1"/>
    <mergeCell ref="A4:D4"/>
    <mergeCell ref="A8:D8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7"/>
  <sheetViews>
    <sheetView showGridLines="0" workbookViewId="0">
      <selection activeCell="J26" sqref="J26"/>
    </sheetView>
  </sheetViews>
  <sheetFormatPr defaultRowHeight="15" x14ac:dyDescent="0.25"/>
  <cols>
    <col min="1" max="1" width="40" customWidth="1"/>
    <col min="2" max="7" width="15" customWidth="1"/>
  </cols>
  <sheetData>
    <row r="1" spans="1:7" ht="33.950000000000003" customHeight="1" x14ac:dyDescent="0.25">
      <c r="A1" s="64" t="s">
        <v>41</v>
      </c>
      <c r="B1" s="62"/>
      <c r="C1" s="62"/>
      <c r="D1" s="62"/>
      <c r="E1" s="62"/>
      <c r="F1" s="62"/>
      <c r="G1" s="62"/>
    </row>
    <row r="3" spans="1:7" ht="21.95" customHeight="1" x14ac:dyDescent="0.25">
      <c r="A3" s="65" t="s">
        <v>42</v>
      </c>
      <c r="B3" s="62"/>
      <c r="C3" s="62"/>
      <c r="D3" s="62"/>
      <c r="E3" s="62"/>
      <c r="F3" s="62"/>
      <c r="G3" s="62"/>
    </row>
    <row r="4" spans="1:7" ht="26.1" customHeight="1" x14ac:dyDescent="0.25">
      <c r="A4" s="11" t="s">
        <v>43</v>
      </c>
      <c r="B4" s="11" t="s">
        <v>44</v>
      </c>
      <c r="C4" s="11" t="s">
        <v>45</v>
      </c>
      <c r="D4" s="11" t="s">
        <v>46</v>
      </c>
      <c r="E4" s="11" t="s">
        <v>47</v>
      </c>
      <c r="F4" s="11" t="s">
        <v>48</v>
      </c>
    </row>
    <row r="5" spans="1:7" x14ac:dyDescent="0.25">
      <c r="A5" s="12" t="s">
        <v>49</v>
      </c>
      <c r="B5" s="13">
        <v>50000</v>
      </c>
      <c r="C5" s="13">
        <v>8000</v>
      </c>
      <c r="D5" s="13">
        <v>2000</v>
      </c>
      <c r="E5" s="14">
        <v>5</v>
      </c>
      <c r="F5" s="15">
        <f>IF(A5="","",B5+E5*(C5+D5))</f>
        <v>100000</v>
      </c>
    </row>
    <row r="6" spans="1:7" x14ac:dyDescent="0.25">
      <c r="A6" s="12" t="s">
        <v>50</v>
      </c>
      <c r="B6" s="13">
        <v>50000</v>
      </c>
      <c r="C6" s="13">
        <v>5000</v>
      </c>
      <c r="D6" s="13">
        <v>3500</v>
      </c>
      <c r="E6" s="14">
        <v>5</v>
      </c>
      <c r="F6" s="15">
        <f>IF(A6="","",B6+E6*(C6+D6))</f>
        <v>92500</v>
      </c>
    </row>
    <row r="7" spans="1:7" x14ac:dyDescent="0.25">
      <c r="A7" s="12"/>
      <c r="B7" s="13"/>
      <c r="C7" s="13"/>
      <c r="D7" s="13"/>
      <c r="E7" s="14"/>
      <c r="F7" s="15" t="str">
        <f>IF(A7="","",B7+E7*(C7+D7))</f>
        <v/>
      </c>
    </row>
    <row r="8" spans="1:7" x14ac:dyDescent="0.25">
      <c r="A8" s="12"/>
      <c r="B8" s="13"/>
      <c r="C8" s="13"/>
      <c r="D8" s="13"/>
      <c r="E8" s="14"/>
      <c r="F8" s="15" t="str">
        <f>IF(A8="","",B8+E8*(C8+D8))</f>
        <v/>
      </c>
    </row>
    <row r="9" spans="1:7" x14ac:dyDescent="0.25">
      <c r="A9" s="12"/>
      <c r="B9" s="13"/>
      <c r="C9" s="13"/>
      <c r="D9" s="13"/>
      <c r="E9" s="14"/>
      <c r="F9" s="15" t="str">
        <f>IF(A9="","",B9+E9*(C9+D9))</f>
        <v/>
      </c>
    </row>
    <row r="11" spans="1:7" ht="21.95" customHeight="1" x14ac:dyDescent="0.25">
      <c r="A11" s="65" t="s">
        <v>51</v>
      </c>
      <c r="B11" s="62"/>
      <c r="C11" s="62"/>
      <c r="D11" s="62"/>
      <c r="E11" s="62"/>
      <c r="F11" s="62"/>
      <c r="G11" s="62"/>
    </row>
    <row r="12" spans="1:7" x14ac:dyDescent="0.25">
      <c r="A12" s="7" t="s">
        <v>52</v>
      </c>
      <c r="B12" s="13">
        <v>120000</v>
      </c>
    </row>
    <row r="13" spans="1:7" x14ac:dyDescent="0.25">
      <c r="A13" s="7" t="s">
        <v>53</v>
      </c>
      <c r="B13" s="13">
        <v>24000</v>
      </c>
    </row>
    <row r="14" spans="1:7" x14ac:dyDescent="0.25">
      <c r="A14" s="7" t="s">
        <v>54</v>
      </c>
      <c r="B14" s="16">
        <f>IFERROR(B12/B13,"")</f>
        <v>5</v>
      </c>
    </row>
    <row r="16" spans="1:7" ht="21.95" customHeight="1" x14ac:dyDescent="0.25">
      <c r="A16" s="65" t="s">
        <v>55</v>
      </c>
      <c r="B16" s="62"/>
      <c r="C16" s="62"/>
      <c r="D16" s="62"/>
      <c r="E16" s="62"/>
      <c r="F16" s="62"/>
      <c r="G16" s="62"/>
    </row>
    <row r="17" spans="1:7" x14ac:dyDescent="0.25">
      <c r="A17" s="17" t="s">
        <v>56</v>
      </c>
      <c r="B17" s="17" t="s">
        <v>57</v>
      </c>
      <c r="C17" s="17" t="s">
        <v>58</v>
      </c>
    </row>
    <row r="18" spans="1:7" x14ac:dyDescent="0.25">
      <c r="A18" s="18">
        <v>1</v>
      </c>
      <c r="B18" s="19">
        <f t="shared" ref="B18:B27" si="0">$B$12</f>
        <v>120000</v>
      </c>
      <c r="C18" s="19">
        <f t="shared" ref="C18:C27" si="1">$B$13*A18</f>
        <v>24000</v>
      </c>
    </row>
    <row r="19" spans="1:7" x14ac:dyDescent="0.25">
      <c r="A19" s="18">
        <v>2</v>
      </c>
      <c r="B19" s="19">
        <f t="shared" si="0"/>
        <v>120000</v>
      </c>
      <c r="C19" s="19">
        <f t="shared" si="1"/>
        <v>48000</v>
      </c>
    </row>
    <row r="20" spans="1:7" x14ac:dyDescent="0.25">
      <c r="A20" s="18">
        <v>3</v>
      </c>
      <c r="B20" s="19">
        <f t="shared" si="0"/>
        <v>120000</v>
      </c>
      <c r="C20" s="19">
        <f t="shared" si="1"/>
        <v>72000</v>
      </c>
    </row>
    <row r="21" spans="1:7" x14ac:dyDescent="0.25">
      <c r="A21" s="18">
        <v>4</v>
      </c>
      <c r="B21" s="19">
        <f t="shared" si="0"/>
        <v>120000</v>
      </c>
      <c r="C21" s="19">
        <f t="shared" si="1"/>
        <v>96000</v>
      </c>
    </row>
    <row r="22" spans="1:7" x14ac:dyDescent="0.25">
      <c r="A22" s="18">
        <v>5</v>
      </c>
      <c r="B22" s="19">
        <f t="shared" si="0"/>
        <v>120000</v>
      </c>
      <c r="C22" s="19">
        <f t="shared" si="1"/>
        <v>120000</v>
      </c>
    </row>
    <row r="23" spans="1:7" x14ac:dyDescent="0.25">
      <c r="A23" s="18">
        <v>6</v>
      </c>
      <c r="B23" s="19">
        <f t="shared" si="0"/>
        <v>120000</v>
      </c>
      <c r="C23" s="19">
        <f t="shared" si="1"/>
        <v>144000</v>
      </c>
    </row>
    <row r="24" spans="1:7" x14ac:dyDescent="0.25">
      <c r="A24" s="18">
        <v>7</v>
      </c>
      <c r="B24" s="19">
        <f t="shared" si="0"/>
        <v>120000</v>
      </c>
      <c r="C24" s="19">
        <f t="shared" si="1"/>
        <v>168000</v>
      </c>
    </row>
    <row r="25" spans="1:7" x14ac:dyDescent="0.25">
      <c r="A25" s="18">
        <v>8</v>
      </c>
      <c r="B25" s="19">
        <f t="shared" si="0"/>
        <v>120000</v>
      </c>
      <c r="C25" s="19">
        <f t="shared" si="1"/>
        <v>192000</v>
      </c>
    </row>
    <row r="26" spans="1:7" x14ac:dyDescent="0.25">
      <c r="A26" s="18">
        <v>9</v>
      </c>
      <c r="B26" s="19">
        <f t="shared" si="0"/>
        <v>120000</v>
      </c>
      <c r="C26" s="19">
        <f t="shared" si="1"/>
        <v>216000</v>
      </c>
    </row>
    <row r="27" spans="1:7" x14ac:dyDescent="0.25">
      <c r="A27" s="18">
        <v>10</v>
      </c>
      <c r="B27" s="19">
        <f t="shared" si="0"/>
        <v>120000</v>
      </c>
      <c r="C27" s="19">
        <f t="shared" si="1"/>
        <v>240000</v>
      </c>
    </row>
    <row r="29" spans="1:7" ht="21.95" customHeight="1" x14ac:dyDescent="0.25">
      <c r="A29" s="65" t="s">
        <v>59</v>
      </c>
      <c r="B29" s="62"/>
      <c r="C29" s="62"/>
      <c r="D29" s="62"/>
      <c r="E29" s="62"/>
      <c r="F29" s="62"/>
      <c r="G29" s="62"/>
    </row>
    <row r="30" spans="1:7" x14ac:dyDescent="0.25">
      <c r="A30" s="7" t="s">
        <v>60</v>
      </c>
      <c r="B30" s="13">
        <v>50000</v>
      </c>
    </row>
    <row r="31" spans="1:7" x14ac:dyDescent="0.25">
      <c r="A31" s="7" t="s">
        <v>61</v>
      </c>
      <c r="B31" s="13">
        <v>8500</v>
      </c>
    </row>
    <row r="32" spans="1:7" x14ac:dyDescent="0.25">
      <c r="A32" s="7" t="s">
        <v>62</v>
      </c>
      <c r="B32" s="20">
        <v>5</v>
      </c>
    </row>
    <row r="33" spans="1:4" x14ac:dyDescent="0.25">
      <c r="A33" s="7" t="s">
        <v>63</v>
      </c>
      <c r="B33" s="13">
        <v>8000</v>
      </c>
    </row>
    <row r="34" spans="1:4" x14ac:dyDescent="0.25">
      <c r="A34" s="7" t="s">
        <v>64</v>
      </c>
      <c r="B34" s="21">
        <f>Parametri!$B$5</f>
        <v>0.05</v>
      </c>
    </row>
    <row r="36" spans="1:4" x14ac:dyDescent="0.25">
      <c r="A36" s="17" t="s">
        <v>56</v>
      </c>
      <c r="B36" s="17" t="s">
        <v>65</v>
      </c>
      <c r="C36" s="17" t="s">
        <v>66</v>
      </c>
      <c r="D36" s="17" t="s">
        <v>67</v>
      </c>
    </row>
    <row r="37" spans="1:4" x14ac:dyDescent="0.25">
      <c r="A37" s="18">
        <v>1</v>
      </c>
      <c r="B37" s="19">
        <f t="shared" ref="B37:B51" si="2">IF(A37&lt;=$B$32,$B$31,"")</f>
        <v>8500</v>
      </c>
      <c r="C37" s="22">
        <f t="shared" ref="C37:C51" si="3">IF(A37&lt;=$B$32,1/(1+$B$34)^A37,"")</f>
        <v>0.95238095238095233</v>
      </c>
      <c r="D37" s="19">
        <f t="shared" ref="D37:D51" si="4">IF(A37&lt;=$B$32,B37*C37,"")</f>
        <v>8095.2380952380945</v>
      </c>
    </row>
    <row r="38" spans="1:4" x14ac:dyDescent="0.25">
      <c r="A38" s="18">
        <v>2</v>
      </c>
      <c r="B38" s="19">
        <f t="shared" si="2"/>
        <v>8500</v>
      </c>
      <c r="C38" s="22">
        <f t="shared" si="3"/>
        <v>0.90702947845804982</v>
      </c>
      <c r="D38" s="19">
        <f t="shared" si="4"/>
        <v>7709.7505668934236</v>
      </c>
    </row>
    <row r="39" spans="1:4" x14ac:dyDescent="0.25">
      <c r="A39" s="18">
        <v>3</v>
      </c>
      <c r="B39" s="19">
        <f t="shared" si="2"/>
        <v>8500</v>
      </c>
      <c r="C39" s="22">
        <f t="shared" si="3"/>
        <v>0.86383759853147601</v>
      </c>
      <c r="D39" s="19">
        <f t="shared" si="4"/>
        <v>7342.6195875175463</v>
      </c>
    </row>
    <row r="40" spans="1:4" x14ac:dyDescent="0.25">
      <c r="A40" s="18">
        <v>4</v>
      </c>
      <c r="B40" s="19">
        <f t="shared" si="2"/>
        <v>8500</v>
      </c>
      <c r="C40" s="22">
        <f t="shared" si="3"/>
        <v>0.82270247479188197</v>
      </c>
      <c r="D40" s="19">
        <f t="shared" si="4"/>
        <v>6992.9710357309968</v>
      </c>
    </row>
    <row r="41" spans="1:4" x14ac:dyDescent="0.25">
      <c r="A41" s="18">
        <v>5</v>
      </c>
      <c r="B41" s="19">
        <f t="shared" si="2"/>
        <v>8500</v>
      </c>
      <c r="C41" s="22">
        <f t="shared" si="3"/>
        <v>0.78352616646845896</v>
      </c>
      <c r="D41" s="19">
        <f t="shared" si="4"/>
        <v>6659.9724149819012</v>
      </c>
    </row>
    <row r="42" spans="1:4" x14ac:dyDescent="0.25">
      <c r="A42" s="18">
        <v>6</v>
      </c>
      <c r="B42" s="19" t="str">
        <f t="shared" si="2"/>
        <v/>
      </c>
      <c r="C42" s="22" t="str">
        <f t="shared" si="3"/>
        <v/>
      </c>
      <c r="D42" s="19" t="str">
        <f t="shared" si="4"/>
        <v/>
      </c>
    </row>
    <row r="43" spans="1:4" x14ac:dyDescent="0.25">
      <c r="A43" s="18">
        <v>7</v>
      </c>
      <c r="B43" s="19" t="str">
        <f t="shared" si="2"/>
        <v/>
      </c>
      <c r="C43" s="22" t="str">
        <f t="shared" si="3"/>
        <v/>
      </c>
      <c r="D43" s="19" t="str">
        <f t="shared" si="4"/>
        <v/>
      </c>
    </row>
    <row r="44" spans="1:4" x14ac:dyDescent="0.25">
      <c r="A44" s="18">
        <v>8</v>
      </c>
      <c r="B44" s="19" t="str">
        <f t="shared" si="2"/>
        <v/>
      </c>
      <c r="C44" s="22" t="str">
        <f t="shared" si="3"/>
        <v/>
      </c>
      <c r="D44" s="19" t="str">
        <f t="shared" si="4"/>
        <v/>
      </c>
    </row>
    <row r="45" spans="1:4" x14ac:dyDescent="0.25">
      <c r="A45" s="18">
        <v>9</v>
      </c>
      <c r="B45" s="19" t="str">
        <f t="shared" si="2"/>
        <v/>
      </c>
      <c r="C45" s="22" t="str">
        <f t="shared" si="3"/>
        <v/>
      </c>
      <c r="D45" s="19" t="str">
        <f t="shared" si="4"/>
        <v/>
      </c>
    </row>
    <row r="46" spans="1:4" x14ac:dyDescent="0.25">
      <c r="A46" s="18">
        <v>10</v>
      </c>
      <c r="B46" s="19" t="str">
        <f t="shared" si="2"/>
        <v/>
      </c>
      <c r="C46" s="22" t="str">
        <f t="shared" si="3"/>
        <v/>
      </c>
      <c r="D46" s="19" t="str">
        <f t="shared" si="4"/>
        <v/>
      </c>
    </row>
    <row r="47" spans="1:4" x14ac:dyDescent="0.25">
      <c r="A47" s="18">
        <v>11</v>
      </c>
      <c r="B47" s="19" t="str">
        <f t="shared" si="2"/>
        <v/>
      </c>
      <c r="C47" s="22" t="str">
        <f t="shared" si="3"/>
        <v/>
      </c>
      <c r="D47" s="19" t="str">
        <f t="shared" si="4"/>
        <v/>
      </c>
    </row>
    <row r="48" spans="1:4" x14ac:dyDescent="0.25">
      <c r="A48" s="18">
        <v>12</v>
      </c>
      <c r="B48" s="19" t="str">
        <f t="shared" si="2"/>
        <v/>
      </c>
      <c r="C48" s="22" t="str">
        <f t="shared" si="3"/>
        <v/>
      </c>
      <c r="D48" s="19" t="str">
        <f t="shared" si="4"/>
        <v/>
      </c>
    </row>
    <row r="49" spans="1:7" x14ac:dyDescent="0.25">
      <c r="A49" s="18">
        <v>13</v>
      </c>
      <c r="B49" s="19" t="str">
        <f t="shared" si="2"/>
        <v/>
      </c>
      <c r="C49" s="22" t="str">
        <f t="shared" si="3"/>
        <v/>
      </c>
      <c r="D49" s="19" t="str">
        <f t="shared" si="4"/>
        <v/>
      </c>
    </row>
    <row r="50" spans="1:7" x14ac:dyDescent="0.25">
      <c r="A50" s="18">
        <v>14</v>
      </c>
      <c r="B50" s="19" t="str">
        <f t="shared" si="2"/>
        <v/>
      </c>
      <c r="C50" s="22" t="str">
        <f t="shared" si="3"/>
        <v/>
      </c>
      <c r="D50" s="19" t="str">
        <f t="shared" si="4"/>
        <v/>
      </c>
    </row>
    <row r="51" spans="1:7" x14ac:dyDescent="0.25">
      <c r="A51" s="18">
        <v>15</v>
      </c>
      <c r="B51" s="19" t="str">
        <f t="shared" si="2"/>
        <v/>
      </c>
      <c r="C51" s="22" t="str">
        <f t="shared" si="3"/>
        <v/>
      </c>
      <c r="D51" s="19" t="str">
        <f t="shared" si="4"/>
        <v/>
      </c>
    </row>
    <row r="53" spans="1:7" x14ac:dyDescent="0.25">
      <c r="A53" s="7" t="s">
        <v>68</v>
      </c>
      <c r="B53" s="23">
        <f>SUM(D37:D51)</f>
        <v>36800.551700361961</v>
      </c>
    </row>
    <row r="54" spans="1:7" x14ac:dyDescent="0.25">
      <c r="A54" s="7" t="s">
        <v>69</v>
      </c>
      <c r="B54" s="23">
        <f>B33/(1+B34)^B32</f>
        <v>6268.209331747672</v>
      </c>
    </row>
    <row r="55" spans="1:7" ht="15.75" x14ac:dyDescent="0.25">
      <c r="A55" s="24" t="s">
        <v>70</v>
      </c>
      <c r="B55" s="25">
        <f>B30+B53-B54</f>
        <v>80532.342368614292</v>
      </c>
    </row>
    <row r="57" spans="1:7" ht="21.95" customHeight="1" x14ac:dyDescent="0.25">
      <c r="A57" s="65" t="s">
        <v>71</v>
      </c>
      <c r="B57" s="62"/>
      <c r="C57" s="62"/>
      <c r="D57" s="62"/>
      <c r="E57" s="62"/>
      <c r="F57" s="62"/>
      <c r="G57" s="62"/>
    </row>
    <row r="58" spans="1:7" x14ac:dyDescent="0.25">
      <c r="A58" s="7" t="s">
        <v>72</v>
      </c>
      <c r="B58" s="13">
        <v>80000</v>
      </c>
    </row>
    <row r="59" spans="1:7" x14ac:dyDescent="0.25">
      <c r="A59" s="7" t="s">
        <v>73</v>
      </c>
      <c r="B59" s="13">
        <v>25000</v>
      </c>
    </row>
    <row r="60" spans="1:7" x14ac:dyDescent="0.25">
      <c r="A60" s="7" t="s">
        <v>74</v>
      </c>
      <c r="B60" s="20">
        <v>5</v>
      </c>
    </row>
    <row r="61" spans="1:7" x14ac:dyDescent="0.25">
      <c r="A61" s="7" t="s">
        <v>75</v>
      </c>
      <c r="B61" s="8">
        <v>0.08</v>
      </c>
    </row>
    <row r="62" spans="1:7" x14ac:dyDescent="0.25">
      <c r="A62" s="7" t="s">
        <v>76</v>
      </c>
      <c r="B62" s="16">
        <f>IFERROR(B58/B59,"")</f>
        <v>3.2</v>
      </c>
    </row>
    <row r="64" spans="1:7" x14ac:dyDescent="0.25">
      <c r="A64" s="17" t="s">
        <v>56</v>
      </c>
      <c r="B64" s="17" t="s">
        <v>77</v>
      </c>
      <c r="C64" s="17" t="s">
        <v>66</v>
      </c>
      <c r="D64" s="17" t="s">
        <v>78</v>
      </c>
    </row>
    <row r="65" spans="1:4" x14ac:dyDescent="0.25">
      <c r="A65" s="18">
        <v>1</v>
      </c>
      <c r="B65" s="19">
        <f t="shared" ref="B65:B79" si="5">IF(A65&lt;=$B$60,$B$59,"")</f>
        <v>25000</v>
      </c>
      <c r="C65" s="22">
        <f t="shared" ref="C65:C79" si="6">IF(A65&lt;=$B$60,1/(1+$B$61)^A65,"")</f>
        <v>0.92592592592592582</v>
      </c>
      <c r="D65" s="19">
        <f t="shared" ref="D65:D79" si="7">IF(A65&lt;=$B$60,B65*C65,"")</f>
        <v>23148.148148148146</v>
      </c>
    </row>
    <row r="66" spans="1:4" x14ac:dyDescent="0.25">
      <c r="A66" s="18">
        <v>2</v>
      </c>
      <c r="B66" s="19">
        <f t="shared" si="5"/>
        <v>25000</v>
      </c>
      <c r="C66" s="22">
        <f t="shared" si="6"/>
        <v>0.85733882030178321</v>
      </c>
      <c r="D66" s="19">
        <f t="shared" si="7"/>
        <v>21433.470507544582</v>
      </c>
    </row>
    <row r="67" spans="1:4" x14ac:dyDescent="0.25">
      <c r="A67" s="18">
        <v>3</v>
      </c>
      <c r="B67" s="19">
        <f t="shared" si="5"/>
        <v>25000</v>
      </c>
      <c r="C67" s="22">
        <f t="shared" si="6"/>
        <v>0.79383224102016958</v>
      </c>
      <c r="D67" s="19">
        <f t="shared" si="7"/>
        <v>19845.80602550424</v>
      </c>
    </row>
    <row r="68" spans="1:4" x14ac:dyDescent="0.25">
      <c r="A68" s="18">
        <v>4</v>
      </c>
      <c r="B68" s="19">
        <f t="shared" si="5"/>
        <v>25000</v>
      </c>
      <c r="C68" s="22">
        <f t="shared" si="6"/>
        <v>0.73502985279645328</v>
      </c>
      <c r="D68" s="19">
        <f t="shared" si="7"/>
        <v>18375.746319911334</v>
      </c>
    </row>
    <row r="69" spans="1:4" x14ac:dyDescent="0.25">
      <c r="A69" s="18">
        <v>5</v>
      </c>
      <c r="B69" s="19">
        <f t="shared" si="5"/>
        <v>25000</v>
      </c>
      <c r="C69" s="22">
        <f t="shared" si="6"/>
        <v>0.68058319703375303</v>
      </c>
      <c r="D69" s="19">
        <f t="shared" si="7"/>
        <v>17014.579925843827</v>
      </c>
    </row>
    <row r="70" spans="1:4" x14ac:dyDescent="0.25">
      <c r="A70" s="18">
        <v>6</v>
      </c>
      <c r="B70" s="19" t="str">
        <f t="shared" si="5"/>
        <v/>
      </c>
      <c r="C70" s="22" t="str">
        <f t="shared" si="6"/>
        <v/>
      </c>
      <c r="D70" s="19" t="str">
        <f t="shared" si="7"/>
        <v/>
      </c>
    </row>
    <row r="71" spans="1:4" x14ac:dyDescent="0.25">
      <c r="A71" s="18">
        <v>7</v>
      </c>
      <c r="B71" s="19" t="str">
        <f t="shared" si="5"/>
        <v/>
      </c>
      <c r="C71" s="22" t="str">
        <f t="shared" si="6"/>
        <v/>
      </c>
      <c r="D71" s="19" t="str">
        <f t="shared" si="7"/>
        <v/>
      </c>
    </row>
    <row r="72" spans="1:4" x14ac:dyDescent="0.25">
      <c r="A72" s="18">
        <v>8</v>
      </c>
      <c r="B72" s="19" t="str">
        <f t="shared" si="5"/>
        <v/>
      </c>
      <c r="C72" s="22" t="str">
        <f t="shared" si="6"/>
        <v/>
      </c>
      <c r="D72" s="19" t="str">
        <f t="shared" si="7"/>
        <v/>
      </c>
    </row>
    <row r="73" spans="1:4" x14ac:dyDescent="0.25">
      <c r="A73" s="18">
        <v>9</v>
      </c>
      <c r="B73" s="19" t="str">
        <f t="shared" si="5"/>
        <v/>
      </c>
      <c r="C73" s="22" t="str">
        <f t="shared" si="6"/>
        <v/>
      </c>
      <c r="D73" s="19" t="str">
        <f t="shared" si="7"/>
        <v/>
      </c>
    </row>
    <row r="74" spans="1:4" x14ac:dyDescent="0.25">
      <c r="A74" s="18">
        <v>10</v>
      </c>
      <c r="B74" s="19" t="str">
        <f t="shared" si="5"/>
        <v/>
      </c>
      <c r="C74" s="22" t="str">
        <f t="shared" si="6"/>
        <v/>
      </c>
      <c r="D74" s="19" t="str">
        <f t="shared" si="7"/>
        <v/>
      </c>
    </row>
    <row r="75" spans="1:4" x14ac:dyDescent="0.25">
      <c r="A75" s="18">
        <v>11</v>
      </c>
      <c r="B75" s="19" t="str">
        <f t="shared" si="5"/>
        <v/>
      </c>
      <c r="C75" s="22" t="str">
        <f t="shared" si="6"/>
        <v/>
      </c>
      <c r="D75" s="19" t="str">
        <f t="shared" si="7"/>
        <v/>
      </c>
    </row>
    <row r="76" spans="1:4" x14ac:dyDescent="0.25">
      <c r="A76" s="18">
        <v>12</v>
      </c>
      <c r="B76" s="19" t="str">
        <f t="shared" si="5"/>
        <v/>
      </c>
      <c r="C76" s="22" t="str">
        <f t="shared" si="6"/>
        <v/>
      </c>
      <c r="D76" s="19" t="str">
        <f t="shared" si="7"/>
        <v/>
      </c>
    </row>
    <row r="77" spans="1:4" x14ac:dyDescent="0.25">
      <c r="A77" s="18">
        <v>13</v>
      </c>
      <c r="B77" s="19" t="str">
        <f t="shared" si="5"/>
        <v/>
      </c>
      <c r="C77" s="22" t="str">
        <f t="shared" si="6"/>
        <v/>
      </c>
      <c r="D77" s="19" t="str">
        <f t="shared" si="7"/>
        <v/>
      </c>
    </row>
    <row r="78" spans="1:4" x14ac:dyDescent="0.25">
      <c r="A78" s="18">
        <v>14</v>
      </c>
      <c r="B78" s="19" t="str">
        <f t="shared" si="5"/>
        <v/>
      </c>
      <c r="C78" s="22" t="str">
        <f t="shared" si="6"/>
        <v/>
      </c>
      <c r="D78" s="19" t="str">
        <f t="shared" si="7"/>
        <v/>
      </c>
    </row>
    <row r="79" spans="1:4" x14ac:dyDescent="0.25">
      <c r="A79" s="18">
        <v>15</v>
      </c>
      <c r="B79" s="19" t="str">
        <f t="shared" si="5"/>
        <v/>
      </c>
      <c r="C79" s="22" t="str">
        <f t="shared" si="6"/>
        <v/>
      </c>
      <c r="D79" s="19" t="str">
        <f t="shared" si="7"/>
        <v/>
      </c>
    </row>
    <row r="81" spans="1:7" x14ac:dyDescent="0.25">
      <c r="A81" s="7" t="s">
        <v>79</v>
      </c>
      <c r="B81" s="23">
        <f>SUM(D65:D79)</f>
        <v>99817.75092695214</v>
      </c>
    </row>
    <row r="82" spans="1:7" ht="15.75" x14ac:dyDescent="0.25">
      <c r="A82" s="24" t="s">
        <v>80</v>
      </c>
      <c r="B82" s="25">
        <f>-B58+B81</f>
        <v>19817.75092695214</v>
      </c>
    </row>
    <row r="83" spans="1:7" x14ac:dyDescent="0.25">
      <c r="A83" s="7" t="s">
        <v>81</v>
      </c>
      <c r="B83" s="21">
        <f>IFERROR(B82/B58,"")</f>
        <v>0.24772188658690175</v>
      </c>
    </row>
    <row r="84" spans="1:7" x14ac:dyDescent="0.25">
      <c r="A84" s="7" t="s">
        <v>82</v>
      </c>
      <c r="B84" s="21">
        <f>IFERROR((SUM(B65:B79)-B58)/B58,"")</f>
        <v>0.5625</v>
      </c>
    </row>
    <row r="86" spans="1:7" ht="21.95" customHeight="1" x14ac:dyDescent="0.25">
      <c r="A86" s="65" t="s">
        <v>83</v>
      </c>
      <c r="B86" s="62"/>
      <c r="C86" s="62"/>
      <c r="D86" s="62"/>
      <c r="E86" s="62"/>
      <c r="F86" s="62"/>
      <c r="G86" s="62"/>
    </row>
    <row r="87" spans="1:7" x14ac:dyDescent="0.25">
      <c r="A87" s="7" t="s">
        <v>84</v>
      </c>
      <c r="B87" s="26">
        <v>1000</v>
      </c>
    </row>
    <row r="88" spans="1:7" x14ac:dyDescent="0.25">
      <c r="A88" s="7" t="s">
        <v>85</v>
      </c>
      <c r="B88" s="26">
        <v>650</v>
      </c>
    </row>
    <row r="89" spans="1:7" x14ac:dyDescent="0.25">
      <c r="A89" s="7" t="s">
        <v>86</v>
      </c>
      <c r="B89" s="13">
        <v>12000</v>
      </c>
    </row>
    <row r="90" spans="1:7" x14ac:dyDescent="0.25">
      <c r="A90" s="7" t="s">
        <v>87</v>
      </c>
      <c r="B90" s="21">
        <f>IFERROR(B88/B87,"")</f>
        <v>0.65</v>
      </c>
    </row>
    <row r="91" spans="1:7" x14ac:dyDescent="0.25">
      <c r="A91" s="7" t="s">
        <v>88</v>
      </c>
      <c r="B91" s="27">
        <f>B87-B88</f>
        <v>350</v>
      </c>
    </row>
    <row r="92" spans="1:7" x14ac:dyDescent="0.25">
      <c r="A92" s="7" t="s">
        <v>89</v>
      </c>
      <c r="B92" s="28">
        <f>IFERROR(B89/B88,"")</f>
        <v>18.46153846153846</v>
      </c>
    </row>
    <row r="94" spans="1:7" x14ac:dyDescent="0.25">
      <c r="A94" s="7" t="s">
        <v>90</v>
      </c>
      <c r="B94" s="8">
        <v>0.9</v>
      </c>
    </row>
    <row r="95" spans="1:7" x14ac:dyDescent="0.25">
      <c r="A95" s="7" t="s">
        <v>91</v>
      </c>
      <c r="B95" s="27">
        <f>B87*B94</f>
        <v>900</v>
      </c>
    </row>
    <row r="96" spans="1:7" x14ac:dyDescent="0.25">
      <c r="A96" s="7" t="s">
        <v>92</v>
      </c>
      <c r="B96" s="28">
        <f>IFERROR(B89/B95,"")</f>
        <v>13.333333333333334</v>
      </c>
    </row>
    <row r="97" spans="1:2" x14ac:dyDescent="0.25">
      <c r="A97" s="7" t="s">
        <v>93</v>
      </c>
      <c r="B97" s="21">
        <f>IFERROR(1-B96/B92,"")</f>
        <v>0.27777777777777768</v>
      </c>
    </row>
  </sheetData>
  <mergeCells count="7">
    <mergeCell ref="A1:G1"/>
    <mergeCell ref="A3:G3"/>
    <mergeCell ref="A16:G16"/>
    <mergeCell ref="A86:G86"/>
    <mergeCell ref="A29:G29"/>
    <mergeCell ref="A57:G57"/>
    <mergeCell ref="A11:G11"/>
  </mergeCells>
  <conditionalFormatting sqref="B82">
    <cfRule type="cellIs" dxfId="13" priority="1" operator="lessThan">
      <formula>0</formula>
    </cfRule>
    <cfRule type="cellIs" dxfId="12" priority="2" operator="greaterThanOrEqual">
      <formula>0</formula>
    </cfRule>
  </conditionalFormatting>
  <conditionalFormatting sqref="B90">
    <cfRule type="colorScale" priority="3">
      <colorScale>
        <cfvo type="num" val="0.5"/>
        <cfvo type="num" val="0.8"/>
        <cfvo type="num" val="0.95"/>
        <color rgb="FFF8CBAD"/>
        <color rgb="FFFFE699"/>
        <color rgb="FFC6E0B4"/>
      </colorScale>
    </cfRule>
  </conditionalFormatting>
  <pageMargins left="0.75" right="0.75" top="1" bottom="1" header="0.5" footer="0.5"/>
  <drawing r:id="rId1"/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"/>
  <sheetViews>
    <sheetView showGridLines="0" topLeftCell="A13" workbookViewId="0">
      <selection activeCell="B12" sqref="B12"/>
    </sheetView>
  </sheetViews>
  <sheetFormatPr defaultRowHeight="15" x14ac:dyDescent="0.25"/>
  <cols>
    <col min="1" max="1" width="46" customWidth="1"/>
    <col min="2" max="6" width="16" customWidth="1"/>
  </cols>
  <sheetData>
    <row r="1" spans="1:6" ht="33.950000000000003" customHeight="1" x14ac:dyDescent="0.25">
      <c r="A1" s="64" t="s">
        <v>94</v>
      </c>
      <c r="B1" s="62"/>
      <c r="C1" s="62"/>
      <c r="D1" s="62"/>
      <c r="E1" s="62"/>
      <c r="F1" s="62"/>
    </row>
    <row r="3" spans="1:6" ht="21.95" customHeight="1" x14ac:dyDescent="0.25">
      <c r="A3" s="65" t="s">
        <v>95</v>
      </c>
      <c r="B3" s="62"/>
      <c r="C3" s="62"/>
      <c r="D3" s="62"/>
      <c r="E3" s="62"/>
      <c r="F3" s="62"/>
    </row>
    <row r="4" spans="1:6" x14ac:dyDescent="0.25">
      <c r="A4" s="7" t="s">
        <v>96</v>
      </c>
      <c r="B4" s="20">
        <v>6</v>
      </c>
    </row>
    <row r="5" spans="1:6" x14ac:dyDescent="0.25">
      <c r="A5" s="7" t="s">
        <v>97</v>
      </c>
      <c r="B5" s="9">
        <v>18000</v>
      </c>
    </row>
    <row r="6" spans="1:6" x14ac:dyDescent="0.25">
      <c r="A6" s="7" t="s">
        <v>98</v>
      </c>
      <c r="B6" s="29">
        <f>IFERROR(B5/B4,"")</f>
        <v>3000</v>
      </c>
    </row>
    <row r="7" spans="1:6" x14ac:dyDescent="0.25">
      <c r="A7" s="7" t="s">
        <v>99</v>
      </c>
      <c r="B7" s="30">
        <f>IFERROR(1/B6,"")</f>
        <v>3.3333333333333332E-4</v>
      </c>
    </row>
    <row r="8" spans="1:6" x14ac:dyDescent="0.25">
      <c r="A8" s="7" t="s">
        <v>100</v>
      </c>
      <c r="B8" s="29">
        <f>Parametri!$B$6</f>
        <v>8760</v>
      </c>
    </row>
    <row r="9" spans="1:6" x14ac:dyDescent="0.25">
      <c r="A9" s="7" t="s">
        <v>101</v>
      </c>
      <c r="B9" s="16">
        <f>B8*B7</f>
        <v>2.92</v>
      </c>
    </row>
    <row r="11" spans="1:6" ht="21.95" customHeight="1" x14ac:dyDescent="0.25">
      <c r="A11" s="65" t="s">
        <v>102</v>
      </c>
      <c r="B11" s="62"/>
      <c r="C11" s="62"/>
      <c r="D11" s="62"/>
      <c r="E11" s="62"/>
      <c r="F11" s="62"/>
    </row>
    <row r="12" spans="1:6" x14ac:dyDescent="0.25">
      <c r="A12" s="7" t="s">
        <v>103</v>
      </c>
      <c r="B12" s="9">
        <v>15</v>
      </c>
    </row>
    <row r="13" spans="1:6" x14ac:dyDescent="0.25">
      <c r="A13" s="7" t="s">
        <v>104</v>
      </c>
      <c r="B13" s="31">
        <f>IFERROR(B6/(B6+B12),"")</f>
        <v>0.99502487562189057</v>
      </c>
    </row>
    <row r="14" spans="1:6" x14ac:dyDescent="0.25">
      <c r="A14" s="7" t="s">
        <v>105</v>
      </c>
      <c r="B14" s="8">
        <v>0.03</v>
      </c>
    </row>
    <row r="15" spans="1:6" x14ac:dyDescent="0.25">
      <c r="A15" s="7" t="s">
        <v>106</v>
      </c>
      <c r="B15" s="31">
        <f>IFERROR(B13*(1-B14),"")</f>
        <v>0.96517412935323388</v>
      </c>
    </row>
    <row r="17" spans="1:6" ht="21.95" customHeight="1" x14ac:dyDescent="0.25">
      <c r="A17" s="65" t="s">
        <v>107</v>
      </c>
      <c r="B17" s="62"/>
      <c r="C17" s="62"/>
      <c r="D17" s="62"/>
      <c r="E17" s="62"/>
      <c r="F17" s="62"/>
    </row>
    <row r="18" spans="1:6" x14ac:dyDescent="0.25">
      <c r="A18" s="7" t="s">
        <v>108</v>
      </c>
      <c r="B18" s="26">
        <v>50</v>
      </c>
    </row>
    <row r="19" spans="1:6" x14ac:dyDescent="0.25">
      <c r="A19" s="7" t="s">
        <v>109</v>
      </c>
      <c r="B19" s="32">
        <v>20</v>
      </c>
    </row>
    <row r="20" spans="1:6" x14ac:dyDescent="0.25">
      <c r="A20" s="7" t="s">
        <v>110</v>
      </c>
      <c r="B20" s="28">
        <f>B18*B19</f>
        <v>1000</v>
      </c>
    </row>
    <row r="21" spans="1:6" x14ac:dyDescent="0.25">
      <c r="A21" s="7" t="s">
        <v>111</v>
      </c>
      <c r="B21" s="13">
        <v>500</v>
      </c>
    </row>
    <row r="22" spans="1:6" x14ac:dyDescent="0.25">
      <c r="A22" s="7" t="s">
        <v>112</v>
      </c>
      <c r="B22" s="9">
        <v>1</v>
      </c>
    </row>
    <row r="23" spans="1:6" x14ac:dyDescent="0.25">
      <c r="A23" s="7" t="s">
        <v>113</v>
      </c>
      <c r="B23" s="23">
        <f>B20*B22+B21</f>
        <v>1500</v>
      </c>
    </row>
    <row r="24" spans="1:6" x14ac:dyDescent="0.25">
      <c r="A24" s="7" t="s">
        <v>114</v>
      </c>
      <c r="B24" s="28">
        <f>IFERROR(B23/B22,"")</f>
        <v>1500</v>
      </c>
    </row>
    <row r="26" spans="1:6" ht="21.95" customHeight="1" x14ac:dyDescent="0.25">
      <c r="A26" s="65" t="s">
        <v>115</v>
      </c>
      <c r="B26" s="62"/>
      <c r="C26" s="62"/>
      <c r="D26" s="62"/>
      <c r="E26" s="62"/>
      <c r="F26" s="62"/>
    </row>
    <row r="27" spans="1:6" x14ac:dyDescent="0.25">
      <c r="A27" s="7" t="s">
        <v>116</v>
      </c>
      <c r="B27" s="13">
        <v>2000</v>
      </c>
    </row>
    <row r="28" spans="1:6" x14ac:dyDescent="0.25">
      <c r="A28" s="7" t="s">
        <v>117</v>
      </c>
      <c r="B28" s="13">
        <v>1500</v>
      </c>
    </row>
    <row r="30" spans="1:6" ht="26.1" customHeight="1" x14ac:dyDescent="0.25">
      <c r="A30" s="11" t="s">
        <v>118</v>
      </c>
      <c r="B30" s="11" t="s">
        <v>119</v>
      </c>
      <c r="C30" s="11" t="s">
        <v>120</v>
      </c>
      <c r="D30" s="11" t="s">
        <v>121</v>
      </c>
      <c r="E30" s="11" t="s">
        <v>48</v>
      </c>
    </row>
    <row r="31" spans="1:6" x14ac:dyDescent="0.25">
      <c r="A31" s="14">
        <v>1</v>
      </c>
      <c r="B31" s="15">
        <f>A31*$B$27</f>
        <v>2000</v>
      </c>
      <c r="C31" s="10">
        <v>5</v>
      </c>
      <c r="D31" s="15">
        <f>C31*$B$28</f>
        <v>7500</v>
      </c>
      <c r="E31" s="15">
        <f>B31+D31</f>
        <v>9500</v>
      </c>
    </row>
    <row r="32" spans="1:6" x14ac:dyDescent="0.25">
      <c r="A32" s="14">
        <v>2</v>
      </c>
      <c r="B32" s="15">
        <f>A32*$B$27</f>
        <v>4000</v>
      </c>
      <c r="C32" s="10">
        <v>3</v>
      </c>
      <c r="D32" s="15">
        <f>C32*$B$28</f>
        <v>4500</v>
      </c>
      <c r="E32" s="15">
        <f>B32+D32</f>
        <v>8500</v>
      </c>
    </row>
    <row r="33" spans="1:5" x14ac:dyDescent="0.25">
      <c r="A33" s="14">
        <v>4</v>
      </c>
      <c r="B33" s="15">
        <f>A33*$B$27</f>
        <v>8000</v>
      </c>
      <c r="C33" s="10">
        <v>1.5</v>
      </c>
      <c r="D33" s="15">
        <f>C33*$B$28</f>
        <v>2250</v>
      </c>
      <c r="E33" s="15">
        <f>B33+D33</f>
        <v>10250</v>
      </c>
    </row>
    <row r="34" spans="1:5" x14ac:dyDescent="0.25">
      <c r="A34" s="14">
        <v>6</v>
      </c>
      <c r="B34" s="15">
        <f>A34*$B$27</f>
        <v>12000</v>
      </c>
      <c r="C34" s="10">
        <v>0.8</v>
      </c>
      <c r="D34" s="15">
        <f>C34*$B$28</f>
        <v>1200</v>
      </c>
      <c r="E34" s="15">
        <f>B34+D34</f>
        <v>13200</v>
      </c>
    </row>
    <row r="36" spans="1:5" x14ac:dyDescent="0.25">
      <c r="A36" s="7" t="s">
        <v>122</v>
      </c>
      <c r="B36" s="33">
        <f>INDEX(A31:A34,MATCH(MIN(E31:E34),E31:E34,0))</f>
        <v>2</v>
      </c>
    </row>
  </sheetData>
  <mergeCells count="5">
    <mergeCell ref="A11:F11"/>
    <mergeCell ref="A1:F1"/>
    <mergeCell ref="A26:F26"/>
    <mergeCell ref="A17:F17"/>
    <mergeCell ref="A3:F3"/>
  </mergeCells>
  <conditionalFormatting sqref="B15">
    <cfRule type="colorScale" priority="1">
      <colorScale>
        <cfvo type="num" val="0.8"/>
        <cfvo type="num" val="0.92"/>
        <cfvo type="num" val="0.98"/>
        <color rgb="FFF8CBAD"/>
        <color rgb="FFFFE699"/>
        <color rgb="FFC6E0B4"/>
      </colorScale>
    </cfRule>
  </conditionalFormatting>
  <conditionalFormatting sqref="E31:E34">
    <cfRule type="expression" dxfId="11" priority="2">
      <formula>E31=MIN($E$31:$E$34)</formula>
    </cfRule>
  </conditionalFormatting>
  <pageMargins left="0.75" right="0.75" top="1" bottom="1" header="0.5" footer="0.5"/>
  <legacy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59"/>
  <sheetViews>
    <sheetView showGridLines="0" workbookViewId="0">
      <selection activeCell="J166" sqref="J166"/>
    </sheetView>
  </sheetViews>
  <sheetFormatPr defaultRowHeight="15" x14ac:dyDescent="0.25"/>
  <cols>
    <col min="1" max="1" width="52" customWidth="1"/>
    <col min="2" max="3" width="18" customWidth="1"/>
    <col min="4" max="4" width="13.5703125" bestFit="1" customWidth="1"/>
    <col min="5" max="5" width="14" customWidth="1"/>
  </cols>
  <sheetData>
    <row r="1" spans="1:5" ht="33.950000000000003" customHeight="1" x14ac:dyDescent="0.25">
      <c r="A1" s="64" t="s">
        <v>123</v>
      </c>
      <c r="B1" s="62"/>
      <c r="C1" s="62"/>
      <c r="D1" s="62"/>
      <c r="E1" s="62"/>
    </row>
    <row r="3" spans="1:5" ht="27.95" customHeight="1" x14ac:dyDescent="0.25">
      <c r="A3" s="61" t="s">
        <v>124</v>
      </c>
      <c r="B3" s="62"/>
      <c r="C3" s="62"/>
      <c r="D3" s="62"/>
      <c r="E3" s="62"/>
    </row>
    <row r="5" spans="1:5" ht="21.95" customHeight="1" x14ac:dyDescent="0.25">
      <c r="A5" s="65" t="s">
        <v>125</v>
      </c>
      <c r="B5" s="62"/>
      <c r="C5" s="62"/>
      <c r="D5" s="62"/>
      <c r="E5" s="62"/>
    </row>
    <row r="6" spans="1:5" x14ac:dyDescent="0.25">
      <c r="A6" s="7" t="s">
        <v>126</v>
      </c>
      <c r="B6" s="10">
        <v>2.5</v>
      </c>
    </row>
    <row r="7" spans="1:5" x14ac:dyDescent="0.25">
      <c r="A7" s="7" t="s">
        <v>127</v>
      </c>
      <c r="B7" s="9">
        <v>8000</v>
      </c>
    </row>
    <row r="9" spans="1:5" ht="21.95" customHeight="1" x14ac:dyDescent="0.25">
      <c r="A9" s="65" t="s">
        <v>128</v>
      </c>
      <c r="B9" s="62"/>
      <c r="C9" s="62"/>
      <c r="D9" s="62"/>
      <c r="E9" s="62"/>
    </row>
    <row r="10" spans="1:5" ht="30" customHeight="1" x14ac:dyDescent="0.25">
      <c r="A10" s="11" t="s">
        <v>129</v>
      </c>
      <c r="B10" s="11" t="s">
        <v>130</v>
      </c>
      <c r="C10" s="11" t="s">
        <v>131</v>
      </c>
    </row>
    <row r="11" spans="1:5" x14ac:dyDescent="0.25">
      <c r="A11" s="34" t="s">
        <v>132</v>
      </c>
      <c r="B11" s="9">
        <v>4</v>
      </c>
      <c r="C11" s="9">
        <v>0.1</v>
      </c>
    </row>
    <row r="12" spans="1:5" x14ac:dyDescent="0.25">
      <c r="A12" s="34" t="s">
        <v>133</v>
      </c>
      <c r="B12" s="13">
        <v>3000</v>
      </c>
      <c r="C12" s="13">
        <v>500</v>
      </c>
    </row>
    <row r="13" spans="1:5" x14ac:dyDescent="0.25">
      <c r="A13" s="34" t="s">
        <v>134</v>
      </c>
      <c r="B13" s="9">
        <v>3</v>
      </c>
      <c r="C13" s="9">
        <v>0.3</v>
      </c>
    </row>
    <row r="14" spans="1:5" x14ac:dyDescent="0.25">
      <c r="A14" s="34" t="s">
        <v>135</v>
      </c>
      <c r="B14" s="13">
        <v>12000</v>
      </c>
      <c r="C14" s="13">
        <v>2000</v>
      </c>
    </row>
    <row r="15" spans="1:5" x14ac:dyDescent="0.25">
      <c r="A15" s="34" t="s">
        <v>136</v>
      </c>
      <c r="B15" s="9">
        <v>10</v>
      </c>
      <c r="C15" s="9">
        <v>1</v>
      </c>
    </row>
    <row r="16" spans="1:5" x14ac:dyDescent="0.25">
      <c r="A16" s="34" t="s">
        <v>137</v>
      </c>
      <c r="B16" s="32">
        <v>500</v>
      </c>
      <c r="C16" s="32">
        <v>400</v>
      </c>
    </row>
    <row r="17" spans="1:5" x14ac:dyDescent="0.25">
      <c r="A17" s="34" t="s">
        <v>138</v>
      </c>
      <c r="B17" s="13">
        <v>8000</v>
      </c>
      <c r="C17" s="13">
        <v>300</v>
      </c>
    </row>
    <row r="18" spans="1:5" x14ac:dyDescent="0.25">
      <c r="A18" s="34" t="s">
        <v>139</v>
      </c>
      <c r="B18" s="8">
        <v>0.6</v>
      </c>
      <c r="C18" s="8">
        <v>0</v>
      </c>
    </row>
    <row r="19" spans="1:5" x14ac:dyDescent="0.25">
      <c r="A19" s="34" t="s">
        <v>140</v>
      </c>
      <c r="B19" s="13">
        <v>40000</v>
      </c>
      <c r="C19" s="13">
        <v>0</v>
      </c>
    </row>
    <row r="20" spans="1:5" x14ac:dyDescent="0.25">
      <c r="A20" s="34" t="s">
        <v>141</v>
      </c>
      <c r="B20" s="10">
        <v>0.4</v>
      </c>
      <c r="C20" s="10">
        <v>0.3</v>
      </c>
    </row>
    <row r="21" spans="1:5" x14ac:dyDescent="0.25">
      <c r="A21" s="34" t="s">
        <v>142</v>
      </c>
      <c r="B21" s="32">
        <v>60</v>
      </c>
      <c r="C21" s="32">
        <v>45</v>
      </c>
    </row>
    <row r="22" spans="1:5" x14ac:dyDescent="0.25">
      <c r="A22" s="34" t="s">
        <v>143</v>
      </c>
      <c r="B22" s="10">
        <v>0.5</v>
      </c>
      <c r="C22" s="10">
        <v>0.4</v>
      </c>
    </row>
    <row r="23" spans="1:5" x14ac:dyDescent="0.25">
      <c r="A23" s="34" t="s">
        <v>144</v>
      </c>
      <c r="B23" s="32">
        <v>90</v>
      </c>
      <c r="C23" s="32">
        <v>70</v>
      </c>
    </row>
    <row r="24" spans="1:5" x14ac:dyDescent="0.25">
      <c r="A24" s="34" t="s">
        <v>145</v>
      </c>
      <c r="B24" s="9">
        <v>0</v>
      </c>
      <c r="C24" s="9">
        <v>0</v>
      </c>
    </row>
    <row r="26" spans="1:5" ht="21.95" customHeight="1" x14ac:dyDescent="0.25">
      <c r="A26" s="65" t="s">
        <v>146</v>
      </c>
      <c r="B26" s="62"/>
      <c r="C26" s="62"/>
      <c r="D26" s="62"/>
      <c r="E26" s="62"/>
    </row>
    <row r="27" spans="1:5" x14ac:dyDescent="0.25">
      <c r="A27" s="17" t="s">
        <v>147</v>
      </c>
      <c r="B27" s="17" t="s">
        <v>148</v>
      </c>
      <c r="C27" s="17" t="s">
        <v>149</v>
      </c>
    </row>
    <row r="28" spans="1:5" x14ac:dyDescent="0.25">
      <c r="A28" s="7" t="s">
        <v>150</v>
      </c>
      <c r="B28" s="23">
        <f>B12+B16*MAX(0,B13-B11)</f>
        <v>3000</v>
      </c>
      <c r="C28" s="15">
        <f>C12+C16*MAX(0,C13-C11)</f>
        <v>580</v>
      </c>
    </row>
    <row r="29" spans="1:5" x14ac:dyDescent="0.25">
      <c r="A29" s="7" t="s">
        <v>151</v>
      </c>
      <c r="B29" s="23">
        <f>B14+B16*MAX(0,B15-B24)+B17+B18*B19</f>
        <v>49000</v>
      </c>
      <c r="C29" s="15">
        <f>C14+C16*MAX(0,C15-C24)+C17+C18*C19</f>
        <v>2700</v>
      </c>
    </row>
    <row r="31" spans="1:5" ht="21.95" customHeight="1" x14ac:dyDescent="0.25">
      <c r="A31" s="65" t="s">
        <v>152</v>
      </c>
      <c r="B31" s="62"/>
      <c r="C31" s="62"/>
      <c r="D31" s="62"/>
      <c r="E31" s="62"/>
    </row>
    <row r="32" spans="1:5" x14ac:dyDescent="0.25">
      <c r="A32" s="17" t="s">
        <v>147</v>
      </c>
      <c r="B32" s="17" t="s">
        <v>148</v>
      </c>
      <c r="C32" s="17" t="s">
        <v>149</v>
      </c>
    </row>
    <row r="33" spans="1:5" x14ac:dyDescent="0.25">
      <c r="A33" s="34" t="s">
        <v>153</v>
      </c>
      <c r="B33" s="35">
        <f>B20/(1-B20)*B16/B21</f>
        <v>5.5555555555555562</v>
      </c>
      <c r="C33" s="35">
        <f>C20/(1-C20)*C16/C21</f>
        <v>3.8095238095238098</v>
      </c>
    </row>
    <row r="34" spans="1:5" x14ac:dyDescent="0.25">
      <c r="A34" s="34" t="s">
        <v>154</v>
      </c>
      <c r="B34" s="35">
        <f>IF(B11&lt;=0,1000000000000000,(B13/B11)^(1/B20))</f>
        <v>0.48713928962874681</v>
      </c>
      <c r="C34" s="35">
        <f>IF(C11&lt;=0,1000000000000000,(C13/C11)^(1/C20))</f>
        <v>38.940738398300013</v>
      </c>
    </row>
    <row r="35" spans="1:5" x14ac:dyDescent="0.25">
      <c r="A35" s="34" t="s">
        <v>155</v>
      </c>
      <c r="B35" s="35">
        <f>MAX(1,MIN(B33,B34))</f>
        <v>1</v>
      </c>
      <c r="C35" s="35">
        <f>MAX(1,MIN(C33,C34))</f>
        <v>3.8095238095238098</v>
      </c>
    </row>
    <row r="36" spans="1:5" x14ac:dyDescent="0.25">
      <c r="A36" s="34" t="s">
        <v>156</v>
      </c>
      <c r="B36" s="35">
        <f>B13/B35^B20</f>
        <v>3</v>
      </c>
      <c r="C36" s="35">
        <f>C13/C35^C20</f>
        <v>0.20084454795370421</v>
      </c>
    </row>
    <row r="37" spans="1:5" x14ac:dyDescent="0.25">
      <c r="A37" s="34" t="s">
        <v>157</v>
      </c>
      <c r="B37" s="15">
        <f>B12+B21*B13*(B35^(1-B20)-1)</f>
        <v>3000</v>
      </c>
      <c r="C37" s="15">
        <f>C12+C21*C13*(C35^(1-C20)-1)</f>
        <v>520.93049393492072</v>
      </c>
    </row>
    <row r="38" spans="1:5" x14ac:dyDescent="0.25">
      <c r="A38" s="34" t="s">
        <v>158</v>
      </c>
      <c r="B38" s="15">
        <f>B37+B16*MAX(0,B36-B11)</f>
        <v>3000</v>
      </c>
      <c r="C38" s="15">
        <f>C37+C16*MAX(0,C36-C11)</f>
        <v>561.2683131164024</v>
      </c>
    </row>
    <row r="40" spans="1:5" ht="21.95" customHeight="1" x14ac:dyDescent="0.25">
      <c r="A40" s="65" t="s">
        <v>159</v>
      </c>
      <c r="B40" s="62"/>
      <c r="C40" s="62"/>
      <c r="D40" s="62"/>
      <c r="E40" s="62"/>
    </row>
    <row r="41" spans="1:5" x14ac:dyDescent="0.25">
      <c r="A41" s="17" t="s">
        <v>147</v>
      </c>
      <c r="B41" s="17" t="s">
        <v>148</v>
      </c>
      <c r="C41" s="17" t="s">
        <v>149</v>
      </c>
    </row>
    <row r="42" spans="1:5" x14ac:dyDescent="0.25">
      <c r="A42" s="34" t="s">
        <v>160</v>
      </c>
      <c r="B42" s="35">
        <f>B22/(1-B22)*B16/B23</f>
        <v>5.5555555555555554</v>
      </c>
      <c r="C42" s="35">
        <f>C22/(1-C22)*C16/C23</f>
        <v>3.8095238095238098</v>
      </c>
    </row>
    <row r="43" spans="1:5" x14ac:dyDescent="0.25">
      <c r="A43" s="34" t="s">
        <v>161</v>
      </c>
      <c r="B43" s="71">
        <f>IF(B24&lt;=0,1000000000000000,(B15/B24)^(1/B22))</f>
        <v>1000000000000000</v>
      </c>
      <c r="C43" s="71">
        <f>IF(C24&lt;=0,1000000000000000,(C15/C24)^(1/C22))</f>
        <v>1000000000000000</v>
      </c>
    </row>
    <row r="44" spans="1:5" x14ac:dyDescent="0.25">
      <c r="A44" s="34" t="s">
        <v>162</v>
      </c>
      <c r="B44" s="35">
        <f>MAX(1,MIN(B42,B43))</f>
        <v>5.5555555555555554</v>
      </c>
      <c r="C44" s="35">
        <f>MAX(1,MIN(C42,C43))</f>
        <v>3.8095238095238098</v>
      </c>
    </row>
    <row r="45" spans="1:5" x14ac:dyDescent="0.25">
      <c r="A45" s="34" t="s">
        <v>163</v>
      </c>
      <c r="B45" s="35">
        <f>B15/B44^B22</f>
        <v>4.2426406871192848</v>
      </c>
      <c r="C45" s="35">
        <f>C15/C44^C22</f>
        <v>0.58566830693562077</v>
      </c>
    </row>
    <row r="46" spans="1:5" x14ac:dyDescent="0.25">
      <c r="A46" s="34" t="s">
        <v>164</v>
      </c>
      <c r="B46" s="15">
        <f>B14+B23*B15*(B44^(1-B22)-1)</f>
        <v>13221.320343559642</v>
      </c>
      <c r="C46" s="15">
        <f>C14+C23*C15*(C44^(1-C22)-1)</f>
        <v>2086.178215182832</v>
      </c>
    </row>
    <row r="47" spans="1:5" x14ac:dyDescent="0.25">
      <c r="A47" s="34" t="s">
        <v>165</v>
      </c>
      <c r="B47" s="15">
        <f>B46+B16*MAX(0,B45-B24)+B17+B18*B19</f>
        <v>47342.640687119288</v>
      </c>
      <c r="C47" s="15">
        <f>C46+C16*MAX(0,C45-C24)+C17+C18*C19</f>
        <v>2620.4455379570804</v>
      </c>
    </row>
    <row r="50" spans="1:5" ht="21.95" customHeight="1" x14ac:dyDescent="0.25">
      <c r="A50" s="65" t="s">
        <v>166</v>
      </c>
      <c r="B50" s="62"/>
      <c r="C50" s="62"/>
      <c r="D50" s="62"/>
      <c r="E50" s="62"/>
    </row>
    <row r="51" spans="1:5" ht="27.95" customHeight="1" x14ac:dyDescent="0.25">
      <c r="A51" s="61" t="s">
        <v>167</v>
      </c>
      <c r="B51" s="62"/>
      <c r="C51" s="62"/>
      <c r="D51" s="62"/>
      <c r="E51" s="62"/>
    </row>
    <row r="52" spans="1:5" ht="26.1" customHeight="1" x14ac:dyDescent="0.25">
      <c r="A52" s="11" t="s">
        <v>168</v>
      </c>
      <c r="B52" s="11" t="s">
        <v>169</v>
      </c>
      <c r="C52" s="11" t="s">
        <v>170</v>
      </c>
      <c r="D52" s="11" t="s">
        <v>171</v>
      </c>
      <c r="E52" s="11" t="s">
        <v>172</v>
      </c>
    </row>
    <row r="53" spans="1:5" x14ac:dyDescent="0.25">
      <c r="A53" s="36">
        <v>100</v>
      </c>
      <c r="B53" s="22">
        <f>EXP(-POWER((A53/$B$7),$B$6))</f>
        <v>0.99998253087151279</v>
      </c>
      <c r="C53" s="37">
        <f>100*(1+B53)/2</f>
        <v>99.999126543575628</v>
      </c>
      <c r="D53" s="22">
        <f t="shared" ref="D53:D84" si="0">IFERROR(($B$38*B53+$B$47*(1-B53))/(C53+$B$36*B53+$B$45*(1-B53)),"")</f>
        <v>29.13397516611111</v>
      </c>
      <c r="E53" s="22">
        <f t="shared" ref="E53:E84" si="1">IFERROR(($C$38*B53+$C$47*(1-B53))/(C53+$C$36*B53+$C$45*(1-B53)),"")</f>
        <v>5.601840413472936</v>
      </c>
    </row>
    <row r="54" spans="1:5" x14ac:dyDescent="0.25">
      <c r="A54" s="36">
        <v>200</v>
      </c>
      <c r="B54" s="22">
        <f t="shared" ref="B54:B117" si="2">EXP(-POWER((A54/$B$7),$B$6))</f>
        <v>0.99990118370577141</v>
      </c>
      <c r="C54" s="37">
        <f t="shared" ref="C54:C85" si="3">C53+100*(B53+B54)/2</f>
        <v>199.99331227243982</v>
      </c>
      <c r="D54" s="22">
        <f t="shared" si="0"/>
        <v>14.800388862123988</v>
      </c>
      <c r="E54" s="22">
        <f t="shared" si="1"/>
        <v>2.8046357378510671</v>
      </c>
    </row>
    <row r="55" spans="1:5" x14ac:dyDescent="0.25">
      <c r="A55" s="36">
        <v>300</v>
      </c>
      <c r="B55" s="22">
        <f t="shared" si="2"/>
        <v>0.99972771793396165</v>
      </c>
      <c r="C55" s="37">
        <f t="shared" si="3"/>
        <v>299.97475735442646</v>
      </c>
      <c r="D55" s="22">
        <f t="shared" si="0"/>
        <v>9.9416544413622923</v>
      </c>
      <c r="E55" s="22">
        <f t="shared" si="1"/>
        <v>1.8716670857674085</v>
      </c>
    </row>
    <row r="56" spans="1:5" x14ac:dyDescent="0.25">
      <c r="A56" s="36">
        <v>400</v>
      </c>
      <c r="B56" s="22">
        <f t="shared" si="2"/>
        <v>0.99944113922651368</v>
      </c>
      <c r="C56" s="37">
        <f t="shared" si="3"/>
        <v>399.93320021245023</v>
      </c>
      <c r="D56" s="22">
        <f t="shared" si="0"/>
        <v>7.5068923276066712</v>
      </c>
      <c r="E56" s="22">
        <f t="shared" si="1"/>
        <v>1.4055759852739853</v>
      </c>
    </row>
    <row r="57" spans="1:5" x14ac:dyDescent="0.25">
      <c r="A57" s="36">
        <v>500</v>
      </c>
      <c r="B57" s="22">
        <f t="shared" si="2"/>
        <v>0.99902391418197567</v>
      </c>
      <c r="C57" s="37">
        <f t="shared" si="3"/>
        <v>499.85645288287469</v>
      </c>
      <c r="D57" s="22">
        <f t="shared" si="0"/>
        <v>6.0519753990934051</v>
      </c>
      <c r="E57" s="22">
        <f t="shared" si="1"/>
        <v>1.1264265646894132</v>
      </c>
    </row>
    <row r="58" spans="1:5" x14ac:dyDescent="0.25">
      <c r="A58" s="36">
        <v>600</v>
      </c>
      <c r="B58" s="22">
        <f t="shared" si="2"/>
        <v>0.99846071622142096</v>
      </c>
      <c r="C58" s="37">
        <f t="shared" si="3"/>
        <v>599.73068440304451</v>
      </c>
      <c r="D58" s="22">
        <f t="shared" si="0"/>
        <v>5.0905756912202991</v>
      </c>
      <c r="E58" s="22">
        <f t="shared" si="1"/>
        <v>0.94083638993857932</v>
      </c>
    </row>
    <row r="59" spans="1:5" x14ac:dyDescent="0.25">
      <c r="A59" s="36">
        <v>700</v>
      </c>
      <c r="B59" s="22">
        <f t="shared" si="2"/>
        <v>0.99773781331778866</v>
      </c>
      <c r="C59" s="37">
        <f t="shared" si="3"/>
        <v>699.54061088000503</v>
      </c>
      <c r="D59" s="22">
        <f t="shared" si="0"/>
        <v>4.4129817948391175</v>
      </c>
      <c r="E59" s="22">
        <f t="shared" si="1"/>
        <v>0.80876421992241998</v>
      </c>
    </row>
    <row r="60" spans="1:5" x14ac:dyDescent="0.25">
      <c r="A60" s="36">
        <v>800</v>
      </c>
      <c r="B60" s="22">
        <f t="shared" si="2"/>
        <v>0.99684271707353289</v>
      </c>
      <c r="C60" s="37">
        <f t="shared" si="3"/>
        <v>799.26963739957114</v>
      </c>
      <c r="D60" s="22">
        <f t="shared" si="0"/>
        <v>3.9138797735660704</v>
      </c>
      <c r="E60" s="22">
        <f t="shared" si="1"/>
        <v>0.71018113634361157</v>
      </c>
    </row>
    <row r="61" spans="1:5" x14ac:dyDescent="0.25">
      <c r="A61" s="36">
        <v>900</v>
      </c>
      <c r="B61" s="22">
        <f t="shared" si="2"/>
        <v>0.99576396212535201</v>
      </c>
      <c r="C61" s="37">
        <f t="shared" si="3"/>
        <v>898.89997135951535</v>
      </c>
      <c r="D61" s="22">
        <f t="shared" si="0"/>
        <v>3.5345588215713719</v>
      </c>
      <c r="E61" s="22">
        <f t="shared" si="1"/>
        <v>0.6339556391429757</v>
      </c>
    </row>
    <row r="62" spans="1:5" x14ac:dyDescent="0.25">
      <c r="A62" s="36">
        <v>1000</v>
      </c>
      <c r="B62" s="22">
        <f t="shared" si="2"/>
        <v>0.99449095900190587</v>
      </c>
      <c r="C62" s="37">
        <f t="shared" si="3"/>
        <v>998.41271741587821</v>
      </c>
      <c r="D62" s="22">
        <f t="shared" si="0"/>
        <v>3.2396864858772432</v>
      </c>
      <c r="E62" s="22">
        <f t="shared" si="1"/>
        <v>0.57340618138367427</v>
      </c>
    </row>
    <row r="63" spans="1:5" x14ac:dyDescent="0.25">
      <c r="A63" s="36">
        <v>1100</v>
      </c>
      <c r="B63" s="22">
        <f t="shared" si="2"/>
        <v>0.99301389197317214</v>
      </c>
      <c r="C63" s="37">
        <f t="shared" si="3"/>
        <v>1097.7879599646321</v>
      </c>
      <c r="D63" s="22">
        <f t="shared" si="0"/>
        <v>3.0067156404719095</v>
      </c>
      <c r="E63" s="22">
        <f t="shared" si="1"/>
        <v>0.5242790598657967</v>
      </c>
    </row>
    <row r="64" spans="1:5" x14ac:dyDescent="0.25">
      <c r="A64" s="36">
        <v>1200</v>
      </c>
      <c r="B64" s="22">
        <f t="shared" si="2"/>
        <v>0.99132364617163382</v>
      </c>
      <c r="C64" s="37">
        <f t="shared" si="3"/>
        <v>1197.0048368718724</v>
      </c>
      <c r="D64" s="22">
        <f t="shared" si="0"/>
        <v>2.8205736560522081</v>
      </c>
      <c r="E64" s="22">
        <f t="shared" si="1"/>
        <v>0.48373713654081812</v>
      </c>
    </row>
    <row r="65" spans="1:5" x14ac:dyDescent="0.25">
      <c r="A65" s="36">
        <v>1300</v>
      </c>
      <c r="B65" s="22">
        <f t="shared" si="2"/>
        <v>0.98941175464169839</v>
      </c>
      <c r="C65" s="37">
        <f t="shared" si="3"/>
        <v>1296.041606912539</v>
      </c>
      <c r="D65" s="22">
        <f t="shared" si="0"/>
        <v>2.6707963780939794</v>
      </c>
      <c r="E65" s="22">
        <f t="shared" si="1"/>
        <v>0.44981519725072905</v>
      </c>
    </row>
    <row r="66" spans="1:5" x14ac:dyDescent="0.25">
      <c r="A66" s="36">
        <v>1400</v>
      </c>
      <c r="B66" s="22">
        <f t="shared" si="2"/>
        <v>0.98727035943647401</v>
      </c>
      <c r="C66" s="37">
        <f t="shared" si="3"/>
        <v>1394.8757126164476</v>
      </c>
      <c r="D66" s="22">
        <f t="shared" si="0"/>
        <v>2.5498873114075415</v>
      </c>
      <c r="E66" s="22">
        <f t="shared" si="1"/>
        <v>0.42110867189087259</v>
      </c>
    </row>
    <row r="67" spans="1:5" x14ac:dyDescent="0.25">
      <c r="A67" s="36">
        <v>1500</v>
      </c>
      <c r="B67" s="22">
        <f t="shared" si="2"/>
        <v>0.98489218288521996</v>
      </c>
      <c r="C67" s="37">
        <f t="shared" si="3"/>
        <v>1493.4838397325323</v>
      </c>
      <c r="D67" s="22">
        <f t="shared" si="0"/>
        <v>2.4523315049505778</v>
      </c>
      <c r="E67" s="22">
        <f t="shared" si="1"/>
        <v>0.39658683427312497</v>
      </c>
    </row>
    <row r="68" spans="1:5" x14ac:dyDescent="0.25">
      <c r="A68" s="36">
        <v>1600</v>
      </c>
      <c r="B68" s="22">
        <f t="shared" si="2"/>
        <v>0.98227050637577851</v>
      </c>
      <c r="C68" s="37">
        <f t="shared" si="3"/>
        <v>1591.8419741955822</v>
      </c>
      <c r="D68" s="22">
        <f t="shared" si="0"/>
        <v>2.3739783154444791</v>
      </c>
      <c r="E68" s="22">
        <f t="shared" si="1"/>
        <v>0.37547603229377735</v>
      </c>
    </row>
    <row r="69" spans="1:5" x14ac:dyDescent="0.25">
      <c r="A69" s="36">
        <v>1700</v>
      </c>
      <c r="B69" s="22">
        <f t="shared" si="2"/>
        <v>0.97939915477222805</v>
      </c>
      <c r="C69" s="37">
        <f t="shared" si="3"/>
        <v>1689.9254572529826</v>
      </c>
      <c r="D69" s="22">
        <f t="shared" si="0"/>
        <v>2.3116414749822174</v>
      </c>
      <c r="E69" s="22">
        <f t="shared" si="1"/>
        <v>0.3571841182117525</v>
      </c>
    </row>
    <row r="70" spans="1:5" x14ac:dyDescent="0.25">
      <c r="A70" s="36">
        <v>1800</v>
      </c>
      <c r="B70" s="22">
        <f t="shared" si="2"/>
        <v>0.97627248509892284</v>
      </c>
      <c r="C70" s="37">
        <f t="shared" si="3"/>
        <v>1787.7090392465402</v>
      </c>
      <c r="D70" s="22">
        <f t="shared" si="0"/>
        <v>2.2628321294812554</v>
      </c>
      <c r="E70" s="22">
        <f t="shared" si="1"/>
        <v>0.34125006020091259</v>
      </c>
    </row>
    <row r="71" spans="1:5" x14ac:dyDescent="0.25">
      <c r="A71" s="36">
        <v>1900</v>
      </c>
      <c r="B71" s="22">
        <f t="shared" si="2"/>
        <v>0.97288537846889744</v>
      </c>
      <c r="C71" s="37">
        <f t="shared" si="3"/>
        <v>1885.1669324249312</v>
      </c>
      <c r="D71" s="22">
        <f t="shared" si="0"/>
        <v>2.2255759593058211</v>
      </c>
      <c r="E71" s="22">
        <f t="shared" si="1"/>
        <v>0.32730945999436395</v>
      </c>
    </row>
    <row r="72" spans="1:5" x14ac:dyDescent="0.25">
      <c r="A72" s="36">
        <v>2000</v>
      </c>
      <c r="B72" s="22">
        <f t="shared" si="2"/>
        <v>0.96923323447634413</v>
      </c>
      <c r="C72" s="37">
        <f t="shared" si="3"/>
        <v>1982.2728630721933</v>
      </c>
      <c r="D72" s="22">
        <f t="shared" si="0"/>
        <v>2.198285014110319</v>
      </c>
      <c r="E72" s="22">
        <f t="shared" si="1"/>
        <v>0.31507041087039495</v>
      </c>
    </row>
    <row r="73" spans="1:5" x14ac:dyDescent="0.25">
      <c r="A73" s="36">
        <v>2100</v>
      </c>
      <c r="B73" s="22">
        <f t="shared" si="2"/>
        <v>0.96531196744534065</v>
      </c>
      <c r="C73" s="37">
        <f t="shared" si="3"/>
        <v>2079.0001231682777</v>
      </c>
      <c r="D73" s="22">
        <f t="shared" si="0"/>
        <v>2.1796660620868535</v>
      </c>
      <c r="E73" s="22">
        <f t="shared" si="1"/>
        <v>0.30429625013065154</v>
      </c>
    </row>
    <row r="74" spans="1:5" x14ac:dyDescent="0.25">
      <c r="A74" s="36">
        <v>2200</v>
      </c>
      <c r="B74" s="22">
        <f t="shared" si="2"/>
        <v>0.96111800405267622</v>
      </c>
      <c r="C74" s="37">
        <f t="shared" si="3"/>
        <v>2175.3216217431786</v>
      </c>
      <c r="D74" s="22">
        <f t="shared" si="0"/>
        <v>2.1686538603379248</v>
      </c>
      <c r="E74" s="22">
        <f t="shared" si="1"/>
        <v>0.29479301301665839</v>
      </c>
    </row>
    <row r="75" spans="1:5" x14ac:dyDescent="0.25">
      <c r="A75" s="36">
        <v>2300</v>
      </c>
      <c r="B75" s="22">
        <f t="shared" si="2"/>
        <v>0.95664828193597584</v>
      </c>
      <c r="C75" s="37">
        <f t="shared" si="3"/>
        <v>2271.2099360426114</v>
      </c>
      <c r="D75" s="22">
        <f t="shared" si="0"/>
        <v>2.1643617784737321</v>
      </c>
      <c r="E75" s="22">
        <f t="shared" si="1"/>
        <v>0.28640015765626636</v>
      </c>
    </row>
    <row r="76" spans="1:5" x14ac:dyDescent="0.25">
      <c r="A76" s="36">
        <v>2400</v>
      </c>
      <c r="B76" s="22">
        <f t="shared" si="2"/>
        <v>0.95190024896891834</v>
      </c>
      <c r="C76" s="37">
        <f t="shared" si="3"/>
        <v>2366.6373625878559</v>
      </c>
      <c r="D76" s="22">
        <f t="shared" si="0"/>
        <v>2.1660447257126441</v>
      </c>
      <c r="E76" s="22">
        <f t="shared" si="1"/>
        <v>0.27898360733029132</v>
      </c>
    </row>
    <row r="77" spans="1:5" x14ac:dyDescent="0.25">
      <c r="A77" s="36">
        <v>2500</v>
      </c>
      <c r="B77" s="22">
        <f t="shared" si="2"/>
        <v>0.9468718629396492</v>
      </c>
      <c r="C77" s="37">
        <f t="shared" si="3"/>
        <v>2461.5759681832842</v>
      </c>
      <c r="D77" s="22">
        <f t="shared" si="0"/>
        <v>2.1730709447835981</v>
      </c>
      <c r="E77" s="22">
        <f t="shared" si="1"/>
        <v>0.27243046146525646</v>
      </c>
    </row>
    <row r="78" spans="1:5" x14ac:dyDescent="0.25">
      <c r="A78" s="36">
        <v>2600</v>
      </c>
      <c r="B78" s="22">
        <f t="shared" si="2"/>
        <v>0.94156159141095663</v>
      </c>
      <c r="C78" s="37">
        <f t="shared" si="3"/>
        <v>2555.9976409008145</v>
      </c>
      <c r="D78" s="22">
        <f t="shared" si="0"/>
        <v>2.1849002914498077</v>
      </c>
      <c r="E78" s="22">
        <f t="shared" si="1"/>
        <v>0.26664492627535191</v>
      </c>
    </row>
    <row r="79" spans="1:5" x14ac:dyDescent="0.25">
      <c r="A79" s="36">
        <v>2700</v>
      </c>
      <c r="B79" s="22">
        <f t="shared" si="2"/>
        <v>0.93596841157453126</v>
      </c>
      <c r="C79" s="37">
        <f t="shared" si="3"/>
        <v>2649.8741410500888</v>
      </c>
      <c r="D79" s="22">
        <f t="shared" si="0"/>
        <v>2.2010673226941173</v>
      </c>
      <c r="E79" s="22">
        <f t="shared" si="1"/>
        <v>0.26154514900051229</v>
      </c>
    </row>
    <row r="80" spans="1:5" x14ac:dyDescent="0.25">
      <c r="A80" s="36">
        <v>2800</v>
      </c>
      <c r="B80" s="22">
        <f t="shared" si="2"/>
        <v>0.93009180993889173</v>
      </c>
      <c r="C80" s="37">
        <f t="shared" si="3"/>
        <v>2743.1771521257601</v>
      </c>
      <c r="D80" s="22">
        <f t="shared" si="0"/>
        <v>2.2211679948215064</v>
      </c>
      <c r="E80" s="22">
        <f t="shared" si="1"/>
        <v>0.25706072996207657</v>
      </c>
    </row>
    <row r="81" spans="1:5" x14ac:dyDescent="0.25">
      <c r="A81" s="36">
        <v>2900</v>
      </c>
      <c r="B81" s="22">
        <f t="shared" si="2"/>
        <v>0.92393178171293966</v>
      </c>
      <c r="C81" s="37">
        <f t="shared" si="3"/>
        <v>2835.8783317083517</v>
      </c>
      <c r="D81" s="22">
        <f t="shared" si="0"/>
        <v>2.2448491027710182</v>
      </c>
      <c r="E81" s="22">
        <f t="shared" si="1"/>
        <v>0.25313074892167775</v>
      </c>
    </row>
    <row r="82" spans="1:5" x14ac:dyDescent="0.25">
      <c r="A82" s="36">
        <v>3000</v>
      </c>
      <c r="B82" s="22">
        <f t="shared" si="2"/>
        <v>0.9174888297657835</v>
      </c>
      <c r="C82" s="37">
        <f t="shared" si="3"/>
        <v>2927.9493622822879</v>
      </c>
      <c r="D82" s="22">
        <f t="shared" si="0"/>
        <v>2.2717998231133167</v>
      </c>
      <c r="E82" s="22">
        <f t="shared" si="1"/>
        <v>0.24970218581810719</v>
      </c>
    </row>
    <row r="83" spans="1:5" x14ac:dyDescent="0.25">
      <c r="A83" s="36">
        <v>3100</v>
      </c>
      <c r="B83" s="22">
        <f t="shared" si="2"/>
        <v>0.91076396305931095</v>
      </c>
      <c r="C83" s="37">
        <f t="shared" si="3"/>
        <v>3019.3620019235427</v>
      </c>
      <c r="D83" s="22">
        <f t="shared" si="0"/>
        <v>2.3017448873856696</v>
      </c>
      <c r="E83" s="22">
        <f t="shared" si="1"/>
        <v>0.24672864689411833</v>
      </c>
    </row>
    <row r="84" spans="1:5" x14ac:dyDescent="0.25">
      <c r="A84" s="36">
        <v>3200</v>
      </c>
      <c r="B84" s="22">
        <f t="shared" si="2"/>
        <v>0.90375869446365809</v>
      </c>
      <c r="C84" s="37">
        <f t="shared" si="3"/>
        <v>3110.088134799691</v>
      </c>
      <c r="D84" s="22">
        <f t="shared" si="0"/>
        <v>2.3344390304943121</v>
      </c>
      <c r="E84" s="22">
        <f t="shared" si="1"/>
        <v>0.24416932946345843</v>
      </c>
    </row>
    <row r="85" spans="1:5" x14ac:dyDescent="0.25">
      <c r="A85" s="36">
        <v>3300</v>
      </c>
      <c r="B85" s="22">
        <f t="shared" si="2"/>
        <v>0.89647503787769067</v>
      </c>
      <c r="C85" s="37">
        <f t="shared" si="3"/>
        <v>3200.0998214167585</v>
      </c>
      <c r="D85" s="22">
        <f t="shared" ref="D85:D116" si="4">IFERROR(($B$38*B85+$B$47*(1-B85))/(C85+$B$36*B85+$B$45*(1-B85)),"")</f>
        <v>2.3696624448445252</v>
      </c>
      <c r="E85" s="22">
        <f t="shared" ref="E85:E116" si="5">IFERROR(($C$38*B85+$C$47*(1-B85))/(C85+$C$36*B85+$C$45*(1-B85)),"")</f>
        <v>0.24198817474340772</v>
      </c>
    </row>
    <row r="86" spans="1:5" x14ac:dyDescent="0.25">
      <c r="A86" s="36">
        <v>3400</v>
      </c>
      <c r="B86" s="22">
        <f t="shared" si="2"/>
        <v>0.88891550458727386</v>
      </c>
      <c r="C86" s="37">
        <f t="shared" ref="C86:C117" si="6">C85+100*(B85+B86)/2</f>
        <v>3289.3693485400067</v>
      </c>
      <c r="D86" s="22">
        <f t="shared" si="4"/>
        <v>2.4072170340828611</v>
      </c>
      <c r="E86" s="22">
        <f t="shared" si="5"/>
        <v>0.24015317007270631</v>
      </c>
    </row>
    <row r="87" spans="1:5" x14ac:dyDescent="0.25">
      <c r="A87" s="36">
        <v>3500</v>
      </c>
      <c r="B87" s="22">
        <f t="shared" si="2"/>
        <v>0.88108309880373636</v>
      </c>
      <c r="C87" s="37">
        <f t="shared" si="6"/>
        <v>3377.8692787095574</v>
      </c>
      <c r="D87" s="22">
        <f t="shared" si="4"/>
        <v>2.4469233073319376</v>
      </c>
      <c r="E87" s="22">
        <f t="shared" si="5"/>
        <v>0.23863577067168942</v>
      </c>
    </row>
    <row r="88" spans="1:5" x14ac:dyDescent="0.25">
      <c r="A88" s="36">
        <v>3600</v>
      </c>
      <c r="B88" s="22">
        <f t="shared" si="2"/>
        <v>0.87298131233374532</v>
      </c>
      <c r="C88" s="37">
        <f t="shared" si="6"/>
        <v>3465.5724992664314</v>
      </c>
      <c r="D88" s="22">
        <f t="shared" si="4"/>
        <v>2.4886177900673538</v>
      </c>
      <c r="E88" s="22">
        <f t="shared" si="5"/>
        <v>0.23741041772988347</v>
      </c>
    </row>
    <row r="89" spans="1:5" x14ac:dyDescent="0.25">
      <c r="A89" s="36">
        <v>3700</v>
      </c>
      <c r="B89" s="22">
        <f t="shared" si="2"/>
        <v>0.86461411833998736</v>
      </c>
      <c r="C89" s="37">
        <f t="shared" si="6"/>
        <v>3552.4522708001182</v>
      </c>
      <c r="D89" s="22">
        <f t="shared" si="4"/>
        <v>2.5321508544928166</v>
      </c>
      <c r="E89" s="22">
        <f t="shared" si="5"/>
        <v>0.23645413462298426</v>
      </c>
    </row>
    <row r="90" spans="1:5" x14ac:dyDescent="0.25">
      <c r="A90" s="36">
        <v>3800</v>
      </c>
      <c r="B90" s="22">
        <f t="shared" si="2"/>
        <v>0.85598596415970507</v>
      </c>
      <c r="C90" s="37">
        <f t="shared" si="6"/>
        <v>3638.482274925103</v>
      </c>
      <c r="D90" s="22">
        <f t="shared" si="4"/>
        <v>2.5773848926636851</v>
      </c>
      <c r="E90" s="22">
        <f t="shared" si="5"/>
        <v>0.23574618689009175</v>
      </c>
    </row>
    <row r="91" spans="1:5" x14ac:dyDescent="0.25">
      <c r="A91" s="36">
        <v>3900</v>
      </c>
      <c r="B91" s="22">
        <f t="shared" si="2"/>
        <v>0.84710176315537988</v>
      </c>
      <c r="C91" s="37">
        <f t="shared" si="6"/>
        <v>3723.6366612908573</v>
      </c>
      <c r="D91" s="22">
        <f t="shared" si="4"/>
        <v>2.6241927713064448</v>
      </c>
      <c r="E91" s="22">
        <f t="shared" si="5"/>
        <v>0.23526779454776928</v>
      </c>
    </row>
    <row r="92" spans="1:5" x14ac:dyDescent="0.25">
      <c r="A92" s="36">
        <v>4000</v>
      </c>
      <c r="B92" s="22">
        <f t="shared" si="2"/>
        <v>0.83796688557875576</v>
      </c>
      <c r="C92" s="37">
        <f t="shared" si="6"/>
        <v>3807.8900937275639</v>
      </c>
      <c r="D92" s="22">
        <f t="shared" si="4"/>
        <v>2.6724565194545584</v>
      </c>
      <c r="E92" s="22">
        <f t="shared" si="5"/>
        <v>0.23500188760067495</v>
      </c>
    </row>
    <row r="93" spans="1:5" x14ac:dyDescent="0.25">
      <c r="A93" s="36">
        <v>4100</v>
      </c>
      <c r="B93" s="22">
        <f t="shared" si="2"/>
        <v>0.82858714843600556</v>
      </c>
      <c r="C93" s="37">
        <f t="shared" si="6"/>
        <v>3891.217795428302</v>
      </c>
      <c r="D93" s="22">
        <f t="shared" si="4"/>
        <v>2.7220662095277666</v>
      </c>
      <c r="E93" s="22">
        <f t="shared" si="5"/>
        <v>0.23493289739072942</v>
      </c>
    </row>
    <row r="94" spans="1:5" x14ac:dyDescent="0.25">
      <c r="A94" s="36">
        <v>4200</v>
      </c>
      <c r="B94" s="22">
        <f t="shared" si="2"/>
        <v>0.81896880434821795</v>
      </c>
      <c r="C94" s="37">
        <f t="shared" si="6"/>
        <v>3973.5955930675132</v>
      </c>
      <c r="D94" s="22">
        <f t="shared" si="4"/>
        <v>2.7729189999558401</v>
      </c>
      <c r="E94" s="22">
        <f t="shared" si="5"/>
        <v>0.23504657782725605</v>
      </c>
    </row>
    <row r="95" spans="1:5" x14ac:dyDescent="0.25">
      <c r="A95" s="36">
        <v>4300</v>
      </c>
      <c r="B95" s="22">
        <f t="shared" si="2"/>
        <v>0.80911852940753093</v>
      </c>
      <c r="C95" s="37">
        <f t="shared" si="6"/>
        <v>4054.9999597553006</v>
      </c>
      <c r="D95" s="22">
        <f t="shared" si="4"/>
        <v>2.8249183133609139</v>
      </c>
      <c r="E95" s="22">
        <f t="shared" si="5"/>
        <v>0.23532985164802478</v>
      </c>
    </row>
    <row r="96" spans="1:5" x14ac:dyDescent="0.25">
      <c r="A96" s="36">
        <v>4400</v>
      </c>
      <c r="B96" s="22">
        <f t="shared" si="2"/>
        <v>0.79904341003519441</v>
      </c>
      <c r="C96" s="37">
        <f t="shared" si="6"/>
        <v>4135.4080567274368</v>
      </c>
      <c r="D96" s="22">
        <f t="shared" si="4"/>
        <v>2.8779731290189376</v>
      </c>
      <c r="E96" s="22">
        <f t="shared" si="5"/>
        <v>0.23577067774218805</v>
      </c>
    </row>
    <row r="97" spans="1:5" x14ac:dyDescent="0.25">
      <c r="A97" s="36">
        <v>4500</v>
      </c>
      <c r="B97" s="22">
        <f t="shared" si="2"/>
        <v>0.78875092885361764</v>
      </c>
      <c r="C97" s="37">
        <f t="shared" si="6"/>
        <v>4214.7977736718776</v>
      </c>
      <c r="D97" s="22">
        <f t="shared" si="4"/>
        <v>2.9319973720878174</v>
      </c>
      <c r="E97" s="22">
        <f t="shared" si="5"/>
        <v>0.23635793627103036</v>
      </c>
    </row>
    <row r="98" spans="1:5" x14ac:dyDescent="0.25">
      <c r="A98" s="36">
        <v>4600</v>
      </c>
      <c r="B98" s="22">
        <f t="shared" si="2"/>
        <v>0.77824894959004165</v>
      </c>
      <c r="C98" s="37">
        <f t="shared" si="6"/>
        <v>4293.1477675940605</v>
      </c>
      <c r="D98" s="22">
        <f t="shared" si="4"/>
        <v>2.9869093851216366</v>
      </c>
      <c r="E98" s="22">
        <f t="shared" si="5"/>
        <v>0.23708132888952602</v>
      </c>
    </row>
    <row r="99" spans="1:5" x14ac:dyDescent="0.25">
      <c r="A99" s="36">
        <v>4700</v>
      </c>
      <c r="B99" s="22">
        <f t="shared" si="2"/>
        <v>0.76754570103489272</v>
      </c>
      <c r="C99" s="37">
        <f t="shared" si="6"/>
        <v>4370.4375001253075</v>
      </c>
      <c r="D99" s="22">
        <f t="shared" si="4"/>
        <v>3.0426314698425672</v>
      </c>
      <c r="E99" s="22">
        <f t="shared" si="5"/>
        <v>0.23793129183022818</v>
      </c>
    </row>
    <row r="100" spans="1:5" x14ac:dyDescent="0.25">
      <c r="A100" s="36">
        <v>4800</v>
      </c>
      <c r="B100" s="22">
        <f t="shared" si="2"/>
        <v>0.75664976008309626</v>
      </c>
      <c r="C100" s="37">
        <f t="shared" si="6"/>
        <v>4446.6472731812073</v>
      </c>
      <c r="D100" s="22">
        <f t="shared" si="4"/>
        <v>3.0990894891354848</v>
      </c>
      <c r="E100" s="22">
        <f t="shared" si="5"/>
        <v>0.23889891998360369</v>
      </c>
    </row>
    <row r="101" spans="1:5" x14ac:dyDescent="0.25">
      <c r="A101" s="36">
        <v>4900</v>
      </c>
      <c r="B101" s="22">
        <f t="shared" si="2"/>
        <v>0.74557003389166143</v>
      </c>
      <c r="C101" s="37">
        <f t="shared" si="6"/>
        <v>4521.7582628799455</v>
      </c>
      <c r="D101" s="22">
        <f t="shared" si="4"/>
        <v>3.156212520858193</v>
      </c>
      <c r="E101" s="22">
        <f t="shared" si="5"/>
        <v>0.23997590041310635</v>
      </c>
    </row>
    <row r="102" spans="1:5" x14ac:dyDescent="0.25">
      <c r="A102" s="36">
        <v>5000</v>
      </c>
      <c r="B102" s="22">
        <f t="shared" si="2"/>
        <v>0.73431574119168719</v>
      </c>
      <c r="C102" s="37">
        <f t="shared" si="6"/>
        <v>4595.7525516341129</v>
      </c>
      <c r="D102" s="22">
        <f t="shared" si="4"/>
        <v>3.2139325563952061</v>
      </c>
      <c r="E102" s="22">
        <f t="shared" si="5"/>
        <v>0.24115445399271995</v>
      </c>
    </row>
    <row r="103" spans="1:5" x14ac:dyDescent="0.25">
      <c r="A103" s="36">
        <v>5100</v>
      </c>
      <c r="B103" s="22">
        <f t="shared" si="2"/>
        <v>0.72289639279755602</v>
      </c>
      <c r="C103" s="37">
        <f t="shared" si="6"/>
        <v>4668.6131583335755</v>
      </c>
      <c r="D103" s="22">
        <f t="shared" si="4"/>
        <v>3.2721842379828718</v>
      </c>
      <c r="E103" s="22">
        <f t="shared" si="5"/>
        <v>0.24242728406012792</v>
      </c>
    </row>
    <row r="104" spans="1:5" x14ac:dyDescent="0.25">
      <c r="A104" s="36">
        <v>5200</v>
      </c>
      <c r="B104" s="22">
        <f t="shared" si="2"/>
        <v>0.71132177136047881</v>
      </c>
      <c r="C104" s="37">
        <f t="shared" si="6"/>
        <v>4740.3240665414769</v>
      </c>
      <c r="D104" s="22">
        <f t="shared" si="4"/>
        <v>3.3309046297429816</v>
      </c>
      <c r="E104" s="22">
        <f t="shared" si="5"/>
        <v>0.24378753114854043</v>
      </c>
    </row>
    <row r="105" spans="1:5" x14ac:dyDescent="0.25">
      <c r="A105" s="36">
        <v>5300</v>
      </c>
      <c r="B105" s="22">
        <f t="shared" si="2"/>
        <v>0.69960191041771047</v>
      </c>
      <c r="C105" s="37">
        <f t="shared" si="6"/>
        <v>4810.8702506303862</v>
      </c>
      <c r="D105" s="22">
        <f t="shared" si="4"/>
        <v>3.3900330181168545</v>
      </c>
      <c r="E105" s="22">
        <f t="shared" si="5"/>
        <v>0.24522873300122461</v>
      </c>
    </row>
    <row r="106" spans="1:5" x14ac:dyDescent="0.25">
      <c r="A106" s="36">
        <v>5400</v>
      </c>
      <c r="B106" s="22">
        <f t="shared" si="2"/>
        <v>0.6877470727926549</v>
      </c>
      <c r="C106" s="37">
        <f t="shared" si="6"/>
        <v>4880.2376997909041</v>
      </c>
      <c r="D106" s="22">
        <f t="shared" si="4"/>
        <v>3.4495107380207766</v>
      </c>
      <c r="E106" s="22">
        <f t="shared" si="5"/>
        <v>0.24674478919029186</v>
      </c>
    </row>
    <row r="107" spans="1:5" x14ac:dyDescent="0.25">
      <c r="A107" s="36">
        <v>5500</v>
      </c>
      <c r="B107" s="22">
        <f t="shared" si="2"/>
        <v>0.67576772840471466</v>
      </c>
      <c r="C107" s="37">
        <f t="shared" si="6"/>
        <v>4948.4134398507722</v>
      </c>
      <c r="D107" s="22">
        <f t="shared" si="4"/>
        <v>3.5092810215691741</v>
      </c>
      <c r="E107" s="22">
        <f t="shared" si="5"/>
        <v>0.2483299297595539</v>
      </c>
    </row>
    <row r="108" spans="1:5" x14ac:dyDescent="0.25">
      <c r="A108" s="36">
        <v>5600</v>
      </c>
      <c r="B108" s="22">
        <f t="shared" si="2"/>
        <v>0.66367453155108425</v>
      </c>
      <c r="C108" s="37">
        <f t="shared" si="6"/>
        <v>5015.3855528485619</v>
      </c>
      <c r="D108" s="22">
        <f t="shared" si="4"/>
        <v>3.5692888666527756</v>
      </c>
      <c r="E108" s="22">
        <f t="shared" si="5"/>
        <v>0.24997868739371151</v>
      </c>
    </row>
    <row r="109" spans="1:5" x14ac:dyDescent="0.25">
      <c r="A109" s="36">
        <v>5700</v>
      </c>
      <c r="B109" s="22">
        <f t="shared" si="2"/>
        <v>0.65147829772574051</v>
      </c>
      <c r="C109" s="37">
        <f t="shared" si="6"/>
        <v>5081.1431943124035</v>
      </c>
      <c r="D109" s="22">
        <f t="shared" si="4"/>
        <v>3.6294809230295764</v>
      </c>
      <c r="E109" s="22">
        <f t="shared" si="5"/>
        <v>0.25168587268554993</v>
      </c>
    </row>
    <row r="110" spans="1:5" x14ac:dyDescent="0.25">
      <c r="A110" s="36">
        <v>5800</v>
      </c>
      <c r="B110" s="22">
        <f t="shared" si="2"/>
        <v>0.63918998004361982</v>
      </c>
      <c r="C110" s="37">
        <f t="shared" si="6"/>
        <v>5145.6766082008717</v>
      </c>
      <c r="D110" s="22">
        <f t="shared" si="4"/>
        <v>3.6898053938991828</v>
      </c>
      <c r="E110" s="22">
        <f t="shared" si="5"/>
        <v>0.2534465521314303</v>
      </c>
    </row>
    <row r="111" spans="1:5" x14ac:dyDescent="0.25">
      <c r="A111" s="36">
        <v>5900</v>
      </c>
      <c r="B111" s="22">
        <f t="shared" si="2"/>
        <v>0.62682064534038717</v>
      </c>
      <c r="C111" s="37">
        <f t="shared" si="6"/>
        <v>5208.977139470072</v>
      </c>
      <c r="D111" s="22">
        <f t="shared" si="4"/>
        <v>3.7502119511954706</v>
      </c>
      <c r="E111" s="22">
        <f t="shared" si="5"/>
        <v>0.255256028535016</v>
      </c>
    </row>
    <row r="112" spans="1:5" x14ac:dyDescent="0.25">
      <c r="A112" s="36">
        <v>6000</v>
      </c>
      <c r="B112" s="22">
        <f t="shared" si="2"/>
        <v>0.61438145002028</v>
      </c>
      <c r="C112" s="37">
        <f t="shared" si="6"/>
        <v>5271.0372442381049</v>
      </c>
      <c r="D112" s="22">
        <f t="shared" si="4"/>
        <v>3.8106516630566505</v>
      </c>
      <c r="E112" s="22">
        <f t="shared" si="5"/>
        <v>0.25710982354134504</v>
      </c>
    </row>
    <row r="113" spans="1:5" x14ac:dyDescent="0.25">
      <c r="A113" s="36">
        <v>6100</v>
      </c>
      <c r="B113" s="22">
        <f t="shared" si="2"/>
        <v>0.60188361572624016</v>
      </c>
      <c r="C113" s="37">
        <f t="shared" si="6"/>
        <v>5331.8504975254309</v>
      </c>
      <c r="D113" s="22">
        <f t="shared" si="4"/>
        <v>3.8710769321223841</v>
      </c>
      <c r="E113" s="22">
        <f t="shared" si="5"/>
        <v>0.2590036620592856</v>
      </c>
    </row>
    <row r="114" spans="1:5" x14ac:dyDescent="0.25">
      <c r="A114" s="36">
        <v>6200</v>
      </c>
      <c r="B114" s="22">
        <f t="shared" si="2"/>
        <v>0.58933840490792144</v>
      </c>
      <c r="C114" s="37">
        <f t="shared" si="6"/>
        <v>5391.4115985571389</v>
      </c>
      <c r="D114" s="22">
        <f t="shared" si="4"/>
        <v>3.9314414434697516</v>
      </c>
      <c r="E114" s="22">
        <f t="shared" si="5"/>
        <v>0.26093345836108806</v>
      </c>
    </row>
    <row r="115" spans="1:5" x14ac:dyDescent="0.25">
      <c r="A115" s="36">
        <v>6300</v>
      </c>
      <c r="B115" s="22">
        <f t="shared" si="2"/>
        <v>0.5767570963641756</v>
      </c>
      <c r="C115" s="37">
        <f t="shared" si="6"/>
        <v>5449.716373620744</v>
      </c>
      <c r="D115" s="22">
        <f t="shared" si="4"/>
        <v>3.9917001211383174</v>
      </c>
      <c r="E115" s="22">
        <f t="shared" si="5"/>
        <v>0.26289530367401809</v>
      </c>
    </row>
    <row r="116" spans="1:5" x14ac:dyDescent="0.25">
      <c r="A116" s="36">
        <v>6400</v>
      </c>
      <c r="B116" s="22">
        <f t="shared" si="2"/>
        <v>0.5641509608372548</v>
      </c>
      <c r="C116" s="37">
        <f t="shared" si="6"/>
        <v>5506.7617764808156</v>
      </c>
      <c r="D116" s="22">
        <f t="shared" si="4"/>
        <v>4.0518090923129124</v>
      </c>
      <c r="E116" s="22">
        <f t="shared" si="5"/>
        <v>0.26488545510159661</v>
      </c>
    </row>
    <row r="117" spans="1:5" x14ac:dyDescent="0.25">
      <c r="A117" s="36">
        <v>6500</v>
      </c>
      <c r="B117" s="22">
        <f t="shared" si="2"/>
        <v>0.55153123673624826</v>
      </c>
      <c r="C117" s="37">
        <f t="shared" si="6"/>
        <v>5562.5458863594904</v>
      </c>
      <c r="D117" s="22">
        <f t="shared" ref="D117:D148" si="7">IFERROR(($B$38*B117+$B$47*(1-B117))/(C117+$B$36*B117+$B$45*(1-B117)),"")</f>
        <v>4.1117256583340449</v>
      </c>
      <c r="E117" s="22">
        <f t="shared" ref="E117:E152" si="8">IFERROR(($C$38*B117+$C$47*(1-B117))/(C117+$C$36*B117+$C$45*(1-B117)),"")</f>
        <v>0.26690032573136779</v>
      </c>
    </row>
    <row r="118" spans="1:5" x14ac:dyDescent="0.25">
      <c r="A118" s="36">
        <v>6600</v>
      </c>
      <c r="B118" s="22">
        <f t="shared" ref="B118:B152" si="9">EXP(-POWER((A118/$B$7),$B$6))</f>
        <v>0.53890910606715059</v>
      </c>
      <c r="C118" s="37">
        <f t="shared" ref="C118:C149" si="10">C117+100*(B117+B118)/2</f>
        <v>5617.0679034996601</v>
      </c>
      <c r="D118" s="22">
        <f t="shared" si="7"/>
        <v>4.1714082717928731</v>
      </c>
      <c r="E118" s="22">
        <f t="shared" si="8"/>
        <v>0.26893647580284047</v>
      </c>
    </row>
    <row r="119" spans="1:5" x14ac:dyDescent="0.25">
      <c r="A119" s="36">
        <v>6700</v>
      </c>
      <c r="B119" s="22">
        <f t="shared" si="9"/>
        <v>0.52629567064649352</v>
      </c>
      <c r="C119" s="37">
        <f t="shared" si="10"/>
        <v>5670.3281423353419</v>
      </c>
      <c r="D119" s="22">
        <f t="shared" si="7"/>
        <v>4.2308165190423042</v>
      </c>
      <c r="E119" s="22">
        <f t="shared" si="8"/>
        <v>0.27099060482369192</v>
      </c>
    </row>
    <row r="120" spans="1:5" x14ac:dyDescent="0.25">
      <c r="A120" s="36">
        <v>6800</v>
      </c>
      <c r="B120" s="22">
        <f t="shared" si="9"/>
        <v>0.51370192867460474</v>
      </c>
      <c r="C120" s="37">
        <f t="shared" si="10"/>
        <v>5722.3280223013971</v>
      </c>
      <c r="D120" s="22">
        <f t="shared" si="7"/>
        <v>4.289911107520151</v>
      </c>
      <c r="E120" s="22">
        <f t="shared" si="8"/>
        <v>0.27305954453483983</v>
      </c>
    </row>
    <row r="121" spans="1:5" x14ac:dyDescent="0.25">
      <c r="A121" s="36">
        <v>6900</v>
      </c>
      <c r="B121" s="22">
        <f t="shared" si="9"/>
        <v>0.50113875174333933</v>
      </c>
      <c r="C121" s="37">
        <f t="shared" si="10"/>
        <v>5773.0700563222945</v>
      </c>
      <c r="D121" s="22">
        <f t="shared" si="7"/>
        <v>4.3486538573356883</v>
      </c>
      <c r="E121" s="22">
        <f t="shared" si="8"/>
        <v>0.27514025263584058</v>
      </c>
    </row>
    <row r="122" spans="1:5" x14ac:dyDescent="0.25">
      <c r="A122" s="36">
        <v>7000</v>
      </c>
      <c r="B122" s="22">
        <f t="shared" si="9"/>
        <v>0.48861686235154222</v>
      </c>
      <c r="C122" s="37">
        <f t="shared" si="10"/>
        <v>5822.5578370270387</v>
      </c>
      <c r="D122" s="22">
        <f t="shared" si="7"/>
        <v>4.4070076966188161</v>
      </c>
      <c r="E122" s="22">
        <f t="shared" si="8"/>
        <v>0.27722980719151324</v>
      </c>
    </row>
    <row r="123" spans="1:5" x14ac:dyDescent="0.25">
      <c r="A123" s="36">
        <v>7100</v>
      </c>
      <c r="B123" s="22">
        <f t="shared" si="9"/>
        <v>0.47614681199955056</v>
      </c>
      <c r="C123" s="37">
        <f t="shared" si="10"/>
        <v>5870.7960207445931</v>
      </c>
      <c r="D123" s="22">
        <f t="shared" si="7"/>
        <v>4.4649366601725129</v>
      </c>
      <c r="E123" s="22">
        <f t="shared" si="8"/>
        <v>0.27932540164891134</v>
      </c>
    </row>
    <row r="124" spans="1:5" x14ac:dyDescent="0.25">
      <c r="A124" s="36">
        <v>7200</v>
      </c>
      <c r="B124" s="22">
        <f t="shared" si="9"/>
        <v>0.46373895993176578</v>
      </c>
      <c r="C124" s="37">
        <f t="shared" si="10"/>
        <v>5917.7903093411587</v>
      </c>
      <c r="D124" s="22">
        <f t="shared" si="7"/>
        <v>4.522405891005179</v>
      </c>
      <c r="E124" s="22">
        <f t="shared" si="8"/>
        <v>0.28142434040094705</v>
      </c>
    </row>
    <row r="125" spans="1:5" x14ac:dyDescent="0.25">
      <c r="A125" s="36">
        <v>7300</v>
      </c>
      <c r="B125" s="22">
        <f t="shared" si="9"/>
        <v>0.45140345259369558</v>
      </c>
      <c r="C125" s="37">
        <f t="shared" si="10"/>
        <v>5963.5474299674315</v>
      </c>
      <c r="D125" s="22">
        <f t="shared" si="7"/>
        <v>4.5793816443507769</v>
      </c>
      <c r="E125" s="22">
        <f t="shared" si="8"/>
        <v>0.2835240348392517</v>
      </c>
    </row>
    <row r="126" spans="1:5" x14ac:dyDescent="0.25">
      <c r="A126" s="36">
        <v>7400</v>
      </c>
      <c r="B126" s="22">
        <f t="shared" si="9"/>
        <v>0.43915020386692993</v>
      </c>
      <c r="C126" s="37">
        <f t="shared" si="10"/>
        <v>6008.0751127904632</v>
      </c>
      <c r="D126" s="22">
        <f t="shared" si="7"/>
        <v>4.6358312938119672</v>
      </c>
      <c r="E126" s="22">
        <f t="shared" si="8"/>
        <v>0.28562199984436942</v>
      </c>
    </row>
    <row r="127" spans="1:5" x14ac:dyDescent="0.25">
      <c r="A127" s="36">
        <v>7500</v>
      </c>
      <c r="B127" s="22">
        <f t="shared" si="9"/>
        <v>0.4269888761422746</v>
      </c>
      <c r="C127" s="37">
        <f t="shared" si="10"/>
        <v>6051.3820667909231</v>
      </c>
      <c r="D127" s="22">
        <f t="shared" si="7"/>
        <v>4.6917233392854154</v>
      </c>
      <c r="E127" s="22">
        <f t="shared" si="8"/>
        <v>0.28771585066622007</v>
      </c>
    </row>
    <row r="128" spans="1:5" x14ac:dyDescent="0.25">
      <c r="A128" s="36">
        <v>7600</v>
      </c>
      <c r="B128" s="22">
        <f t="shared" si="9"/>
        <v>0.41492886228773246</v>
      </c>
      <c r="C128" s="37">
        <f t="shared" si="10"/>
        <v>6093.4779537124232</v>
      </c>
      <c r="D128" s="22">
        <f t="shared" si="7"/>
        <v>4.747027416349539</v>
      </c>
      <c r="E128" s="22">
        <f t="shared" si="8"/>
        <v>0.2898033001520367</v>
      </c>
    </row>
    <row r="129" spans="1:5" x14ac:dyDescent="0.25">
      <c r="A129" s="36">
        <v>7700</v>
      </c>
      <c r="B129" s="22">
        <f t="shared" si="9"/>
        <v>0.40297926856423816</v>
      </c>
      <c r="C129" s="37">
        <f t="shared" si="10"/>
        <v>6134.3733602550219</v>
      </c>
      <c r="D129" s="22">
        <f t="shared" si="7"/>
        <v>4.8017143068137376</v>
      </c>
      <c r="E129" s="22">
        <f t="shared" si="8"/>
        <v>0.29188215628275416</v>
      </c>
    </row>
    <row r="130" spans="1:5" x14ac:dyDescent="0.25">
      <c r="A130" s="36">
        <v>7800</v>
      </c>
      <c r="B130" s="22">
        <f t="shared" si="9"/>
        <v>0.39114889853800855</v>
      </c>
      <c r="C130" s="37">
        <f t="shared" si="10"/>
        <v>6174.0797686101341</v>
      </c>
      <c r="D130" s="22">
        <f t="shared" si="7"/>
        <v>4.8557559501448919</v>
      </c>
      <c r="E130" s="22">
        <f t="shared" si="8"/>
        <v>0.29395031998216575</v>
      </c>
    </row>
    <row r="131" spans="1:5" x14ac:dyDescent="0.25">
      <c r="A131" s="36">
        <v>7900</v>
      </c>
      <c r="B131" s="22">
        <f t="shared" si="9"/>
        <v>0.37944623803411642</v>
      </c>
      <c r="C131" s="37">
        <f t="shared" si="10"/>
        <v>6212.6095254387401</v>
      </c>
      <c r="D131" s="22">
        <f t="shared" si="7"/>
        <v>4.9091254555021138</v>
      </c>
      <c r="E131" s="22">
        <f t="shared" si="8"/>
        <v>0.29600578316614162</v>
      </c>
    </row>
    <row r="132" spans="1:5" x14ac:dyDescent="0.25">
      <c r="A132" s="36">
        <v>8000</v>
      </c>
      <c r="B132" s="22">
        <f t="shared" si="9"/>
        <v>0.36787944117144233</v>
      </c>
      <c r="C132" s="37">
        <f t="shared" si="10"/>
        <v>6249.9758093990176</v>
      </c>
      <c r="D132" s="22">
        <f t="shared" si="7"/>
        <v>4.9617971141244634</v>
      </c>
      <c r="E132" s="22">
        <f t="shared" si="8"/>
        <v>0.2980466270018533</v>
      </c>
    </row>
    <row r="133" spans="1:5" x14ac:dyDescent="0.25">
      <c r="A133" s="36">
        <v>8100</v>
      </c>
      <c r="B133" s="22">
        <f t="shared" si="9"/>
        <v>0.35645631751452461</v>
      </c>
      <c r="C133" s="37">
        <f t="shared" si="10"/>
        <v>6286.1925973333164</v>
      </c>
      <c r="D133" s="22">
        <f t="shared" si="7"/>
        <v>5.0137464118292474</v>
      </c>
      <c r="E133" s="22">
        <f t="shared" si="8"/>
        <v>0.30007102034933042</v>
      </c>
    </row>
    <row r="134" spans="1:5" x14ac:dyDescent="0.25">
      <c r="A134" s="36">
        <v>8200</v>
      </c>
      <c r="B134" s="22">
        <f t="shared" si="9"/>
        <v>0.3451843203730629</v>
      </c>
      <c r="C134" s="37">
        <f t="shared" si="10"/>
        <v>6321.2746292276961</v>
      </c>
      <c r="D134" s="22">
        <f t="shared" si="7"/>
        <v>5.0649500413903414</v>
      </c>
      <c r="E134" s="22">
        <f t="shared" si="8"/>
        <v>0.30207721835981904</v>
      </c>
    </row>
    <row r="135" spans="1:5" x14ac:dyDescent="0.25">
      <c r="A135" s="36">
        <v>8300</v>
      </c>
      <c r="B135" s="22">
        <f t="shared" si="9"/>
        <v>0.3340705362749285</v>
      </c>
      <c r="C135" s="37">
        <f t="shared" si="10"/>
        <v>6355.2373720600954</v>
      </c>
      <c r="D135" s="22">
        <f t="shared" si="7"/>
        <v>5.1153859145774403</v>
      </c>
      <c r="E135" s="22">
        <f t="shared" si="8"/>
        <v>0.30406356120735123</v>
      </c>
    </row>
    <row r="136" spans="1:5" x14ac:dyDescent="0.25">
      <c r="A136" s="36">
        <v>8400</v>
      </c>
      <c r="B136" s="22">
        <f t="shared" si="9"/>
        <v>0.32312167563355693</v>
      </c>
      <c r="C136" s="37">
        <f t="shared" si="10"/>
        <v>6388.0969826555192</v>
      </c>
      <c r="D136" s="22">
        <f t="shared" si="7"/>
        <v>5.1650331736479576</v>
      </c>
      <c r="E136" s="22">
        <f t="shared" si="8"/>
        <v>0.3060284729317026</v>
      </c>
    </row>
    <row r="137" spans="1:5" x14ac:dyDescent="0.25">
      <c r="A137" s="36">
        <v>8500</v>
      </c>
      <c r="B137" s="22">
        <f t="shared" si="9"/>
        <v>0.31234406462554171</v>
      </c>
      <c r="C137" s="37">
        <f t="shared" si="10"/>
        <v>6419.8702696684741</v>
      </c>
      <c r="D137" s="22">
        <f t="shared" si="7"/>
        <v>5.2138722020940262</v>
      </c>
      <c r="E137" s="22">
        <f t="shared" si="8"/>
        <v>0.307970460372535</v>
      </c>
    </row>
    <row r="138" spans="1:5" x14ac:dyDescent="0.25">
      <c r="A138" s="36">
        <v>8600</v>
      </c>
      <c r="B138" s="22">
        <f t="shared" si="9"/>
        <v>0.30174363828917139</v>
      </c>
      <c r="C138" s="37">
        <f t="shared" si="10"/>
        <v>6450.5746548142097</v>
      </c>
      <c r="D138" s="22">
        <f t="shared" si="7"/>
        <v>5.2618846344574735</v>
      </c>
      <c r="E138" s="22">
        <f t="shared" si="8"/>
        <v>0.30988811217601203</v>
      </c>
    </row>
    <row r="139" spans="1:5" x14ac:dyDescent="0.25">
      <c r="A139" s="36">
        <v>8700</v>
      </c>
      <c r="B139" s="22">
        <f t="shared" si="9"/>
        <v>0.29132593484955233</v>
      </c>
      <c r="C139" s="37">
        <f t="shared" si="10"/>
        <v>6480.2281334711461</v>
      </c>
      <c r="D139" s="22">
        <f t="shared" si="7"/>
        <v>5.3090533650361822</v>
      </c>
      <c r="E139" s="22">
        <f t="shared" si="8"/>
        <v>0.3117800978565608</v>
      </c>
    </row>
    <row r="140" spans="1:5" x14ac:dyDescent="0.25">
      <c r="A140" s="36">
        <v>8800</v>
      </c>
      <c r="B140" s="22">
        <f t="shared" si="9"/>
        <v>0.28109609127089291</v>
      </c>
      <c r="C140" s="37">
        <f t="shared" si="10"/>
        <v>6508.849234777168</v>
      </c>
      <c r="D140" s="22">
        <f t="shared" si="7"/>
        <v>5.3553625553157564</v>
      </c>
      <c r="E140" s="22">
        <f t="shared" si="8"/>
        <v>0.31364516689775107</v>
      </c>
    </row>
    <row r="141" spans="1:5" x14ac:dyDescent="0.25">
      <c r="A141" s="36">
        <v>8900</v>
      </c>
      <c r="B141" s="22">
        <f t="shared" si="9"/>
        <v>0.27105884003150055</v>
      </c>
      <c r="C141" s="37">
        <f t="shared" si="10"/>
        <v>6536.4569813422877</v>
      </c>
      <c r="D141" s="22">
        <f t="shared" si="7"/>
        <v>5.4007976399711488</v>
      </c>
      <c r="E141" s="22">
        <f t="shared" si="8"/>
        <v>0.31548214787747747</v>
      </c>
    </row>
    <row r="142" spans="1:5" x14ac:dyDescent="0.25">
      <c r="A142" s="36">
        <v>9000</v>
      </c>
      <c r="B142" s="22">
        <f t="shared" si="9"/>
        <v>0.26121850711209382</v>
      </c>
      <c r="C142" s="37">
        <f t="shared" si="10"/>
        <v>6563.0708486994672</v>
      </c>
      <c r="D142" s="22">
        <f t="shared" si="7"/>
        <v>5.4453453312938276</v>
      </c>
      <c r="E142" s="22">
        <f t="shared" si="8"/>
        <v>0.31728994760379087</v>
      </c>
    </row>
    <row r="143" spans="1:5" x14ac:dyDescent="0.25">
      <c r="A143" s="36">
        <v>9100</v>
      </c>
      <c r="B143" s="22">
        <f t="shared" si="9"/>
        <v>0.25157901118319265</v>
      </c>
      <c r="C143" s="37">
        <f t="shared" si="10"/>
        <v>6588.7107246142314</v>
      </c>
      <c r="D143" s="22">
        <f t="shared" si="7"/>
        <v>5.4889936219111979</v>
      </c>
      <c r="E143" s="22">
        <f t="shared" si="8"/>
        <v>0.31906755024882222</v>
      </c>
    </row>
    <row r="144" spans="1:5" x14ac:dyDescent="0.25">
      <c r="A144" s="36">
        <v>9200</v>
      </c>
      <c r="B144" s="22">
        <f t="shared" si="9"/>
        <v>0.24214386397262885</v>
      </c>
      <c r="C144" s="37">
        <f t="shared" si="10"/>
        <v>6613.3968683720223</v>
      </c>
      <c r="D144" s="22">
        <f t="shared" si="7"/>
        <v>5.5317317856765884</v>
      </c>
      <c r="E144" s="22">
        <f t="shared" si="8"/>
        <v>0.32081401646930358</v>
      </c>
    </row>
    <row r="145" spans="1:5" x14ac:dyDescent="0.25">
      <c r="A145" s="36">
        <v>9300</v>
      </c>
      <c r="B145" s="22">
        <f t="shared" si="9"/>
        <v>0.23291617178965873</v>
      </c>
      <c r="C145" s="37">
        <f t="shared" si="10"/>
        <v>6637.1498701601367</v>
      </c>
      <c r="D145" s="22">
        <f t="shared" si="7"/>
        <v>5.573550376619858</v>
      </c>
      <c r="E145" s="22">
        <f t="shared" si="8"/>
        <v>0.32252848250321181</v>
      </c>
    </row>
    <row r="146" spans="1:5" x14ac:dyDescent="0.25">
      <c r="A146" s="36">
        <v>9400</v>
      </c>
      <c r="B146" s="22">
        <f t="shared" si="9"/>
        <v>0.22389863817777481</v>
      </c>
      <c r="C146" s="37">
        <f t="shared" si="10"/>
        <v>6659.9906106585086</v>
      </c>
      <c r="D146" s="22">
        <f t="shared" si="7"/>
        <v>5.6144412258608396</v>
      </c>
      <c r="E146" s="22">
        <f t="shared" si="8"/>
        <v>0.32421015923304775</v>
      </c>
    </row>
    <row r="147" spans="1:5" x14ac:dyDescent="0.25">
      <c r="A147" s="36">
        <v>9500</v>
      </c>
      <c r="B147" s="22">
        <f t="shared" si="9"/>
        <v>0.21509356766412238</v>
      </c>
      <c r="C147" s="37">
        <f t="shared" si="10"/>
        <v>6681.9402209506034</v>
      </c>
      <c r="D147" s="22">
        <f t="shared" si="7"/>
        <v>5.6543974364004175</v>
      </c>
      <c r="E147" s="22">
        <f t="shared" si="8"/>
        <v>0.32585833120723312</v>
      </c>
    </row>
    <row r="148" spans="1:5" x14ac:dyDescent="0.25">
      <c r="A148" s="36">
        <v>9600</v>
      </c>
      <c r="B148" s="22">
        <f t="shared" si="9"/>
        <v>0.20650287056946617</v>
      </c>
      <c r="C148" s="37">
        <f t="shared" si="10"/>
        <v>6703.0200428622829</v>
      </c>
      <c r="D148" s="22">
        <f t="shared" si="7"/>
        <v>5.693413375716708</v>
      </c>
      <c r="E148" s="22">
        <f t="shared" si="8"/>
        <v>0.32747235561204741</v>
      </c>
    </row>
    <row r="149" spans="1:5" x14ac:dyDescent="0.25">
      <c r="A149" s="36">
        <v>9700</v>
      </c>
      <c r="B149" s="22">
        <f t="shared" si="9"/>
        <v>0.19812806883891584</v>
      </c>
      <c r="C149" s="37">
        <f t="shared" si="10"/>
        <v>6723.2515898327019</v>
      </c>
      <c r="D149" s="22">
        <f t="shared" ref="D149:D180" si="11">IFERROR(($B$38*B149+$B$47*(1-B149))/(C149+$B$36*B149+$B$45*(1-B149)),"")</f>
        <v>5.7314846661070318</v>
      </c>
      <c r="E149" s="22">
        <f t="shared" si="8"/>
        <v>0.32905166118744983</v>
      </c>
    </row>
    <row r="150" spans="1:5" x14ac:dyDescent="0.25">
      <c r="A150" s="36">
        <v>9800</v>
      </c>
      <c r="B150" s="22">
        <f t="shared" si="9"/>
        <v>0.18997030285015284</v>
      </c>
      <c r="C150" s="37">
        <f t="shared" ref="C150:C181" si="12">C149+100*(B149+B150)/2</f>
        <v>6742.6565084171552</v>
      </c>
      <c r="D150" s="22">
        <f t="shared" si="11"/>
        <v>5.7686081727296887</v>
      </c>
      <c r="E150" s="22">
        <f t="shared" si="8"/>
        <v>0.33059574708104211</v>
      </c>
    </row>
    <row r="151" spans="1:5" x14ac:dyDescent="0.25">
      <c r="A151" s="36">
        <v>9900</v>
      </c>
      <c r="B151" s="22">
        <f t="shared" si="9"/>
        <v>0.18203033915269654</v>
      </c>
      <c r="C151" s="37">
        <f t="shared" si="12"/>
        <v>6761.2565405172973</v>
      </c>
      <c r="D151" s="22">
        <f t="shared" si="11"/>
        <v>5.8047819893130939</v>
      </c>
      <c r="E151" s="22">
        <f t="shared" si="8"/>
        <v>0.33210418163531358</v>
      </c>
    </row>
    <row r="152" spans="1:5" x14ac:dyDescent="0.25">
      <c r="A152" s="36">
        <v>10000</v>
      </c>
      <c r="B152" s="22">
        <f t="shared" si="9"/>
        <v>0.17430857908883032</v>
      </c>
      <c r="C152" s="37">
        <f t="shared" si="12"/>
        <v>6779.0734864293736</v>
      </c>
      <c r="D152" s="22">
        <f t="shared" si="11"/>
        <v>5.8400054215136095</v>
      </c>
      <c r="E152" s="22">
        <f t="shared" si="8"/>
        <v>0.33357660110418824</v>
      </c>
    </row>
    <row r="154" spans="1:5" ht="21.95" customHeight="1" x14ac:dyDescent="0.25">
      <c r="A154" s="65" t="s">
        <v>173</v>
      </c>
      <c r="B154" s="62"/>
      <c r="C154" s="62"/>
      <c r="D154" s="62"/>
      <c r="E154" s="62"/>
    </row>
    <row r="155" spans="1:5" x14ac:dyDescent="0.25">
      <c r="A155" s="17" t="s">
        <v>147</v>
      </c>
      <c r="B155" s="17" t="s">
        <v>148</v>
      </c>
      <c r="C155" s="17" t="s">
        <v>149</v>
      </c>
    </row>
    <row r="156" spans="1:5" x14ac:dyDescent="0.25">
      <c r="A156" s="7" t="s">
        <v>174</v>
      </c>
      <c r="B156" s="30">
        <f>MIN(D53:D152)</f>
        <v>2.1643617784737321</v>
      </c>
      <c r="C156" s="38">
        <f>MIN(E53:E152)</f>
        <v>0.23493289739072942</v>
      </c>
    </row>
    <row r="157" spans="1:5" x14ac:dyDescent="0.25">
      <c r="A157" s="7" t="s">
        <v>175</v>
      </c>
      <c r="B157" s="29">
        <f>INDEX($A$53:$A$152,MATCH(B156,$D$53:$D$152,0))</f>
        <v>2300</v>
      </c>
      <c r="C157" s="39">
        <f>INDEX($A$53:$A$152,MATCH(C156,$E$53:$E$152,0))</f>
        <v>4100</v>
      </c>
    </row>
    <row r="158" spans="1:5" x14ac:dyDescent="0.25">
      <c r="A158" s="7" t="s">
        <v>176</v>
      </c>
      <c r="B158" s="31">
        <f>EXP(-POWER((B157/$B$7),$B$6))</f>
        <v>0.95664828193597584</v>
      </c>
      <c r="C158" s="40">
        <f>EXP(-POWER((C157/$B$7),$B$6))</f>
        <v>0.82858714843600556</v>
      </c>
    </row>
    <row r="159" spans="1:5" x14ac:dyDescent="0.25">
      <c r="A159" s="7" t="s">
        <v>177</v>
      </c>
      <c r="B159" s="31">
        <f>1-B158</f>
        <v>4.3351718064024158E-2</v>
      </c>
      <c r="C159" s="40">
        <f>1-C158</f>
        <v>0.17141285156399444</v>
      </c>
    </row>
  </sheetData>
  <mergeCells count="10">
    <mergeCell ref="A154:E154"/>
    <mergeCell ref="A50:E50"/>
    <mergeCell ref="A26:E26"/>
    <mergeCell ref="A51:E51"/>
    <mergeCell ref="A1:E1"/>
    <mergeCell ref="A5:E5"/>
    <mergeCell ref="A31:E31"/>
    <mergeCell ref="A40:E40"/>
    <mergeCell ref="A9:E9"/>
    <mergeCell ref="A3:E3"/>
  </mergeCells>
  <pageMargins left="0.75" right="0.75" top="1" bottom="1" header="0.5" footer="0.5"/>
  <drawing r:id="rId1"/>
  <legacy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6"/>
  <sheetViews>
    <sheetView showGridLines="0" workbookViewId="0">
      <selection activeCell="F50" sqref="F50"/>
    </sheetView>
  </sheetViews>
  <sheetFormatPr defaultRowHeight="15" x14ac:dyDescent="0.25"/>
  <cols>
    <col min="1" max="1" width="58.85546875" bestFit="1" customWidth="1"/>
    <col min="2" max="2" width="13.85546875" bestFit="1" customWidth="1"/>
    <col min="3" max="3" width="15.42578125" bestFit="1" customWidth="1"/>
    <col min="4" max="4" width="15.5703125" bestFit="1" customWidth="1"/>
    <col min="5" max="5" width="24.85546875" bestFit="1" customWidth="1"/>
    <col min="6" max="6" width="10.5703125" bestFit="1" customWidth="1"/>
  </cols>
  <sheetData>
    <row r="1" spans="1:6" ht="33.950000000000003" customHeight="1" x14ac:dyDescent="0.25">
      <c r="A1" s="68" t="s">
        <v>178</v>
      </c>
      <c r="B1" s="62"/>
      <c r="C1" s="62"/>
      <c r="D1" s="62"/>
      <c r="E1" s="62"/>
      <c r="F1" s="62"/>
    </row>
    <row r="3" spans="1:6" ht="44.1" customHeight="1" x14ac:dyDescent="0.25">
      <c r="A3" s="66" t="s">
        <v>179</v>
      </c>
      <c r="B3" s="62"/>
      <c r="C3" s="62"/>
      <c r="D3" s="62"/>
      <c r="E3" s="62"/>
      <c r="F3" s="62"/>
    </row>
    <row r="5" spans="1:6" ht="15.75" x14ac:dyDescent="0.25">
      <c r="A5" s="67" t="s">
        <v>180</v>
      </c>
      <c r="B5" s="62"/>
      <c r="C5" s="62"/>
      <c r="D5" s="62"/>
      <c r="E5" s="62"/>
      <c r="F5" s="62"/>
    </row>
    <row r="7" spans="1:6" x14ac:dyDescent="0.25">
      <c r="A7" s="7" t="s">
        <v>181</v>
      </c>
      <c r="B7" s="50">
        <v>0.4</v>
      </c>
    </row>
    <row r="8" spans="1:6" x14ac:dyDescent="0.25">
      <c r="A8" s="7" t="s">
        <v>182</v>
      </c>
      <c r="B8" s="51">
        <v>200</v>
      </c>
    </row>
    <row r="9" spans="1:6" x14ac:dyDescent="0.25">
      <c r="A9" s="7" t="s">
        <v>183</v>
      </c>
      <c r="B9" s="50">
        <v>2.5</v>
      </c>
    </row>
    <row r="10" spans="1:6" x14ac:dyDescent="0.25">
      <c r="A10" s="7" t="s">
        <v>184</v>
      </c>
      <c r="B10" s="51">
        <v>8000</v>
      </c>
    </row>
    <row r="12" spans="1:6" x14ac:dyDescent="0.25">
      <c r="A12" s="52" t="s">
        <v>168</v>
      </c>
      <c r="B12" s="52" t="s">
        <v>185</v>
      </c>
      <c r="C12" s="52" t="s">
        <v>186</v>
      </c>
      <c r="D12" s="52" t="s">
        <v>187</v>
      </c>
      <c r="E12" s="52" t="s">
        <v>188</v>
      </c>
    </row>
    <row r="13" spans="1:6" x14ac:dyDescent="0.25">
      <c r="A13" s="51">
        <v>50</v>
      </c>
      <c r="B13" s="53">
        <f t="shared" ref="B13:B19" si="0">($B$7/$B$8)*(A13/$B$8)^($B$7-1)</f>
        <v>4.5947934199881404E-3</v>
      </c>
      <c r="C13" s="53">
        <f t="shared" ref="C13:C19" si="1">($B$9/$B$10)*(A13/$B$10)^($B$9-1)</f>
        <v>1.544080888754092E-7</v>
      </c>
      <c r="D13" s="53">
        <f t="shared" ref="D13:D19" si="2">B13+C13</f>
        <v>4.5949478280770161E-3</v>
      </c>
      <c r="E13" s="54" t="str">
        <f t="shared" ref="E13:E19" si="3">IF(C13&gt;B13,"usura dominante","mortalità infantile dominante")</f>
        <v>mortalità infantile dominante</v>
      </c>
    </row>
    <row r="14" spans="1:6" x14ac:dyDescent="0.25">
      <c r="A14" s="51">
        <v>200</v>
      </c>
      <c r="B14" s="53">
        <f t="shared" si="0"/>
        <v>2E-3</v>
      </c>
      <c r="C14" s="53">
        <f t="shared" si="1"/>
        <v>1.2352647110032732E-6</v>
      </c>
      <c r="D14" s="53">
        <f t="shared" si="2"/>
        <v>2.0012352647110032E-3</v>
      </c>
      <c r="E14" s="54" t="str">
        <f t="shared" si="3"/>
        <v>mortalità infantile dominante</v>
      </c>
    </row>
    <row r="15" spans="1:6" x14ac:dyDescent="0.25">
      <c r="A15" s="51">
        <v>1000</v>
      </c>
      <c r="B15" s="53">
        <f t="shared" si="0"/>
        <v>7.6146157548635156E-4</v>
      </c>
      <c r="C15" s="53">
        <f t="shared" si="1"/>
        <v>1.3810679320049763E-5</v>
      </c>
      <c r="D15" s="53">
        <f t="shared" si="2"/>
        <v>7.7527225480640137E-4</v>
      </c>
      <c r="E15" s="54" t="str">
        <f t="shared" si="3"/>
        <v>mortalità infantile dominante</v>
      </c>
    </row>
    <row r="16" spans="1:6" x14ac:dyDescent="0.25">
      <c r="A16" s="51">
        <v>2000</v>
      </c>
      <c r="B16" s="53">
        <f t="shared" si="0"/>
        <v>5.0237728630191602E-4</v>
      </c>
      <c r="C16" s="53">
        <f t="shared" si="1"/>
        <v>3.9062500000000008E-5</v>
      </c>
      <c r="D16" s="53">
        <f t="shared" si="2"/>
        <v>5.4143978630191605E-4</v>
      </c>
      <c r="E16" s="54" t="str">
        <f t="shared" si="3"/>
        <v>mortalità infantile dominante</v>
      </c>
    </row>
    <row r="17" spans="1:6" x14ac:dyDescent="0.25">
      <c r="A17" s="51">
        <v>4500</v>
      </c>
      <c r="B17" s="53">
        <f t="shared" si="0"/>
        <v>3.0883071349847857E-4</v>
      </c>
      <c r="C17" s="53">
        <f t="shared" si="1"/>
        <v>1.3183593750000001E-4</v>
      </c>
      <c r="D17" s="53">
        <f t="shared" si="2"/>
        <v>4.4066665099847858E-4</v>
      </c>
      <c r="E17" s="54" t="str">
        <f t="shared" si="3"/>
        <v>mortalità infantile dominante</v>
      </c>
    </row>
    <row r="18" spans="1:6" x14ac:dyDescent="0.25">
      <c r="A18" s="51">
        <v>6000</v>
      </c>
      <c r="B18" s="53">
        <f t="shared" si="0"/>
        <v>2.5987065606107931E-4</v>
      </c>
      <c r="C18" s="53">
        <f t="shared" si="1"/>
        <v>2.0297470401197781E-4</v>
      </c>
      <c r="D18" s="53">
        <f t="shared" si="2"/>
        <v>4.6284536007305712E-4</v>
      </c>
      <c r="E18" s="54" t="str">
        <f t="shared" si="3"/>
        <v>mortalità infantile dominante</v>
      </c>
    </row>
    <row r="19" spans="1:6" x14ac:dyDescent="0.25">
      <c r="A19" s="51">
        <v>8000</v>
      </c>
      <c r="B19" s="53">
        <f t="shared" si="0"/>
        <v>2.1867241478865568E-4</v>
      </c>
      <c r="C19" s="53">
        <f t="shared" si="1"/>
        <v>3.1250000000000001E-4</v>
      </c>
      <c r="D19" s="53">
        <f t="shared" si="2"/>
        <v>5.3117241478865568E-4</v>
      </c>
      <c r="E19" s="54" t="str">
        <f t="shared" si="3"/>
        <v>usura dominante</v>
      </c>
    </row>
    <row r="21" spans="1:6" ht="15.75" x14ac:dyDescent="0.25">
      <c r="A21" s="67" t="s">
        <v>189</v>
      </c>
      <c r="B21" s="62"/>
      <c r="C21" s="62"/>
      <c r="D21" s="62"/>
      <c r="E21" s="62"/>
      <c r="F21" s="62"/>
    </row>
    <row r="22" spans="1:6" x14ac:dyDescent="0.25">
      <c r="A22" s="52" t="s">
        <v>147</v>
      </c>
      <c r="B22" s="52" t="s">
        <v>190</v>
      </c>
    </row>
    <row r="23" spans="1:6" x14ac:dyDescent="0.25">
      <c r="A23" s="7" t="s">
        <v>191</v>
      </c>
      <c r="B23" s="53">
        <f>MIN(D13:D19)</f>
        <v>4.4066665099847858E-4</v>
      </c>
    </row>
    <row r="24" spans="1:6" x14ac:dyDescent="0.25">
      <c r="A24" s="7" t="s">
        <v>192</v>
      </c>
      <c r="B24" s="55">
        <f>INDEX(A13:A19,MATCH(B23,D13:D19,0))</f>
        <v>4500</v>
      </c>
    </row>
    <row r="25" spans="1:6" ht="44.1" customHeight="1" x14ac:dyDescent="0.25">
      <c r="A25" s="66" t="s">
        <v>193</v>
      </c>
      <c r="B25" s="62"/>
      <c r="C25" s="62"/>
      <c r="D25" s="62"/>
      <c r="E25" s="62"/>
      <c r="F25" s="62"/>
    </row>
    <row r="27" spans="1:6" ht="15.75" x14ac:dyDescent="0.25">
      <c r="A27" s="67" t="s">
        <v>194</v>
      </c>
      <c r="B27" s="62"/>
      <c r="C27" s="62"/>
      <c r="D27" s="62"/>
      <c r="E27" s="62"/>
      <c r="F27" s="62"/>
    </row>
    <row r="29" spans="1:6" x14ac:dyDescent="0.25">
      <c r="A29" s="7" t="s">
        <v>195</v>
      </c>
      <c r="B29" s="50">
        <v>0.4</v>
      </c>
    </row>
    <row r="30" spans="1:6" x14ac:dyDescent="0.25">
      <c r="A30" s="7" t="s">
        <v>196</v>
      </c>
      <c r="B30" s="51">
        <v>200</v>
      </c>
    </row>
    <row r="31" spans="1:6" x14ac:dyDescent="0.25">
      <c r="A31" s="7" t="s">
        <v>197</v>
      </c>
      <c r="B31" s="51">
        <v>20000</v>
      </c>
    </row>
    <row r="32" spans="1:6" x14ac:dyDescent="0.25">
      <c r="A32" s="7" t="s">
        <v>198</v>
      </c>
      <c r="B32" s="53">
        <f>IFERROR(1/B31,"")</f>
        <v>5.0000000000000002E-5</v>
      </c>
    </row>
    <row r="34" spans="1:6" ht="25.5" x14ac:dyDescent="0.25">
      <c r="A34" s="52" t="s">
        <v>168</v>
      </c>
      <c r="B34" s="52" t="s">
        <v>199</v>
      </c>
      <c r="C34" s="52" t="s">
        <v>200</v>
      </c>
    </row>
    <row r="35" spans="1:6" x14ac:dyDescent="0.25">
      <c r="A35" s="51">
        <v>50</v>
      </c>
      <c r="B35" s="53">
        <f>($B$29/$B$30)*(A35/$B$30)^($B$29-1)</f>
        <v>4.5947934199881404E-3</v>
      </c>
      <c r="C35" s="53">
        <f>B35+$B$32</f>
        <v>4.6447934199881401E-3</v>
      </c>
    </row>
    <row r="36" spans="1:6" x14ac:dyDescent="0.25">
      <c r="A36" s="51">
        <v>200</v>
      </c>
      <c r="B36" s="53">
        <f>($B$29/$B$30)*(A36/$B$30)^($B$29-1)</f>
        <v>2E-3</v>
      </c>
      <c r="C36" s="53">
        <f>B36+$B$32</f>
        <v>2.0500000000000002E-3</v>
      </c>
    </row>
    <row r="37" spans="1:6" x14ac:dyDescent="0.25">
      <c r="A37" s="51">
        <v>1000</v>
      </c>
      <c r="B37" s="53">
        <f>($B$29/$B$30)*(A37/$B$30)^($B$29-1)</f>
        <v>7.6146157548635156E-4</v>
      </c>
      <c r="C37" s="53">
        <f>B37+$B$32</f>
        <v>8.1146157548635158E-4</v>
      </c>
    </row>
    <row r="38" spans="1:6" x14ac:dyDescent="0.25">
      <c r="A38" s="51">
        <v>3000</v>
      </c>
      <c r="B38" s="53">
        <f>($B$29/$B$30)*(A38/$B$30)^($B$29-1)</f>
        <v>3.9389025854170371E-4</v>
      </c>
      <c r="C38" s="53">
        <f>B38+$B$32</f>
        <v>4.4389025854170373E-4</v>
      </c>
    </row>
    <row r="39" spans="1:6" x14ac:dyDescent="0.25">
      <c r="A39" s="51">
        <v>8000</v>
      </c>
      <c r="B39" s="53">
        <f>($B$29/$B$30)*(A39/$B$30)^($B$29-1)</f>
        <v>2.1867241478865568E-4</v>
      </c>
      <c r="C39" s="53">
        <f>B39+$B$32</f>
        <v>2.686724147886557E-4</v>
      </c>
    </row>
    <row r="41" spans="1:6" ht="57.95" customHeight="1" x14ac:dyDescent="0.25">
      <c r="A41" s="66" t="s">
        <v>201</v>
      </c>
      <c r="B41" s="62"/>
      <c r="C41" s="62"/>
      <c r="D41" s="62"/>
      <c r="E41" s="62"/>
      <c r="F41" s="62"/>
    </row>
    <row r="43" spans="1:6" ht="15.75" x14ac:dyDescent="0.25">
      <c r="A43" s="67" t="s">
        <v>202</v>
      </c>
      <c r="B43" s="62"/>
      <c r="C43" s="62"/>
      <c r="D43" s="62"/>
      <c r="E43" s="62"/>
      <c r="F43" s="62"/>
    </row>
    <row r="45" spans="1:6" x14ac:dyDescent="0.25">
      <c r="A45" s="7" t="s">
        <v>203</v>
      </c>
      <c r="B45" s="56">
        <v>800</v>
      </c>
    </row>
    <row r="46" spans="1:6" x14ac:dyDescent="0.25">
      <c r="A46" s="7" t="s">
        <v>204</v>
      </c>
      <c r="B46" s="56">
        <v>2500</v>
      </c>
    </row>
    <row r="48" spans="1:6" ht="25.5" x14ac:dyDescent="0.25">
      <c r="A48" s="52" t="s">
        <v>205</v>
      </c>
      <c r="B48" s="52" t="s">
        <v>206</v>
      </c>
      <c r="C48" s="52" t="s">
        <v>207</v>
      </c>
      <c r="D48" s="52" t="s">
        <v>208</v>
      </c>
      <c r="E48" s="52" t="s">
        <v>209</v>
      </c>
      <c r="F48" s="52" t="s">
        <v>210</v>
      </c>
    </row>
    <row r="49" spans="1:6" x14ac:dyDescent="0.25">
      <c r="A49" s="57">
        <v>0.02</v>
      </c>
      <c r="B49" s="58">
        <v>6</v>
      </c>
      <c r="C49" s="59">
        <f>B49*$B$45</f>
        <v>4800</v>
      </c>
      <c r="D49" s="58">
        <v>0.3</v>
      </c>
      <c r="E49" s="59">
        <f>D49*$B$46</f>
        <v>750</v>
      </c>
      <c r="F49" s="59">
        <f>C49+E49</f>
        <v>5550</v>
      </c>
    </row>
    <row r="50" spans="1:6" x14ac:dyDescent="0.25">
      <c r="A50" s="57">
        <v>0.04</v>
      </c>
      <c r="B50" s="58">
        <v>3</v>
      </c>
      <c r="C50" s="59">
        <f>B50*$B$45</f>
        <v>2400</v>
      </c>
      <c r="D50" s="58">
        <v>0.6</v>
      </c>
      <c r="E50" s="59">
        <f>D50*$B$46</f>
        <v>1500</v>
      </c>
      <c r="F50" s="59">
        <f>C50+E50</f>
        <v>3900</v>
      </c>
    </row>
    <row r="51" spans="1:6" x14ac:dyDescent="0.25">
      <c r="A51" s="57">
        <v>0.06</v>
      </c>
      <c r="B51" s="58">
        <v>1.5</v>
      </c>
      <c r="C51" s="59">
        <f>B51*$B$45</f>
        <v>1200</v>
      </c>
      <c r="D51" s="58">
        <v>1.4</v>
      </c>
      <c r="E51" s="59">
        <f>D51*$B$46</f>
        <v>3500</v>
      </c>
      <c r="F51" s="59">
        <f>C51+E51</f>
        <v>4700</v>
      </c>
    </row>
    <row r="52" spans="1:6" x14ac:dyDescent="0.25">
      <c r="A52" s="57">
        <v>0.08</v>
      </c>
      <c r="B52" s="58">
        <v>0.8</v>
      </c>
      <c r="C52" s="59">
        <f>B52*$B$45</f>
        <v>640</v>
      </c>
      <c r="D52" s="58">
        <v>2.8</v>
      </c>
      <c r="E52" s="59">
        <f>D52*$B$46</f>
        <v>7000</v>
      </c>
      <c r="F52" s="59">
        <f>C52+E52</f>
        <v>7640</v>
      </c>
    </row>
    <row r="54" spans="1:6" ht="15.75" x14ac:dyDescent="0.25">
      <c r="A54" s="67" t="s">
        <v>211</v>
      </c>
      <c r="B54" s="62"/>
      <c r="C54" s="62"/>
      <c r="D54" s="62"/>
      <c r="E54" s="62"/>
      <c r="F54" s="62"/>
    </row>
    <row r="55" spans="1:6" x14ac:dyDescent="0.25">
      <c r="A55" s="7" t="s">
        <v>212</v>
      </c>
      <c r="B55" s="60">
        <f>INDEX(A49:A52,MATCH(MIN(F49:F52),F49:F52,0))</f>
        <v>0.04</v>
      </c>
    </row>
    <row r="56" spans="1:6" x14ac:dyDescent="0.25">
      <c r="A56" s="7" t="s">
        <v>213</v>
      </c>
      <c r="B56" s="59">
        <f>MIN(F49:F52)</f>
        <v>3900</v>
      </c>
    </row>
  </sheetData>
  <mergeCells count="9">
    <mergeCell ref="A41:F41"/>
    <mergeCell ref="A54:F54"/>
    <mergeCell ref="A1:F1"/>
    <mergeCell ref="A5:F5"/>
    <mergeCell ref="A27:F27"/>
    <mergeCell ref="A3:F3"/>
    <mergeCell ref="A21:F21"/>
    <mergeCell ref="A25:F25"/>
    <mergeCell ref="A43:F4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20"/>
  <sheetViews>
    <sheetView showGridLines="0" tabSelected="1" workbookViewId="0">
      <selection activeCell="D11" sqref="D11"/>
    </sheetView>
  </sheetViews>
  <sheetFormatPr defaultRowHeight="15" x14ac:dyDescent="0.25"/>
  <cols>
    <col min="1" max="1" width="26" customWidth="1"/>
    <col min="2" max="2" width="8" customWidth="1"/>
    <col min="3" max="4" width="11" customWidth="1"/>
    <col min="5" max="8" width="10" customWidth="1"/>
    <col min="9" max="10" width="8" customWidth="1"/>
    <col min="11" max="11" width="11" customWidth="1"/>
    <col min="12" max="12" width="12" customWidth="1"/>
    <col min="13" max="13" width="9" customWidth="1"/>
    <col min="14" max="14" width="11" customWidth="1"/>
    <col min="15" max="15" width="22" customWidth="1"/>
  </cols>
  <sheetData>
    <row r="1" spans="1:15" ht="33.950000000000003" customHeight="1" x14ac:dyDescent="0.25">
      <c r="A1" s="64" t="s">
        <v>214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3" spans="1:15" ht="27.95" customHeight="1" x14ac:dyDescent="0.25">
      <c r="A3" s="11" t="s">
        <v>215</v>
      </c>
      <c r="B3" s="11" t="s">
        <v>216</v>
      </c>
      <c r="C3" s="11" t="s">
        <v>98</v>
      </c>
      <c r="D3" s="11" t="s">
        <v>217</v>
      </c>
      <c r="E3" s="11" t="s">
        <v>218</v>
      </c>
      <c r="F3" s="11" t="s">
        <v>219</v>
      </c>
      <c r="G3" s="11" t="s">
        <v>220</v>
      </c>
      <c r="H3" s="11" t="s">
        <v>221</v>
      </c>
      <c r="I3" s="11" t="s">
        <v>222</v>
      </c>
      <c r="J3" s="11" t="s">
        <v>223</v>
      </c>
      <c r="K3" s="11" t="s">
        <v>224</v>
      </c>
      <c r="L3" s="11" t="s">
        <v>225</v>
      </c>
      <c r="M3" s="11" t="s">
        <v>226</v>
      </c>
      <c r="N3" s="11" t="s">
        <v>227</v>
      </c>
      <c r="O3" s="11" t="s">
        <v>228</v>
      </c>
    </row>
    <row r="4" spans="1:15" x14ac:dyDescent="0.25">
      <c r="A4" s="12" t="s">
        <v>229</v>
      </c>
      <c r="B4" s="20">
        <v>20</v>
      </c>
      <c r="C4" s="9">
        <v>3000</v>
      </c>
      <c r="D4" s="14" t="s">
        <v>230</v>
      </c>
      <c r="E4" s="9">
        <v>500</v>
      </c>
      <c r="F4" s="9">
        <v>0</v>
      </c>
      <c r="G4" s="39">
        <f t="shared" ref="G4:G16" si="0">IF(A4="","",IF(D4="Si",F4,E4))</f>
        <v>500</v>
      </c>
      <c r="H4" s="38">
        <f t="shared" ref="H4:H16" si="1">IF(A4="","",B4*(1/C4)*G4)</f>
        <v>3.333333333333333</v>
      </c>
      <c r="I4" s="20">
        <v>1</v>
      </c>
      <c r="J4" s="20">
        <v>1</v>
      </c>
      <c r="K4" s="41">
        <f t="shared" ref="K4:K16" si="2">IF(A4="","",I4-J4)</f>
        <v>0</v>
      </c>
      <c r="L4" s="8">
        <v>0.95</v>
      </c>
      <c r="M4" s="41" t="e">
        <f ca="1">IF(A4="","",SUMPRODUCT(--(_xludf.POISSON.DIST($A$20:$AO$20+K4,H4,TRUE)&lt;L4)))</f>
        <v>#NAME?</v>
      </c>
      <c r="N4" s="14" t="s">
        <v>231</v>
      </c>
      <c r="O4" s="12"/>
    </row>
    <row r="5" spans="1:15" x14ac:dyDescent="0.25">
      <c r="A5" s="12" t="s">
        <v>232</v>
      </c>
      <c r="B5" s="20">
        <v>20</v>
      </c>
      <c r="C5" s="9">
        <v>33333</v>
      </c>
      <c r="D5" s="14" t="s">
        <v>233</v>
      </c>
      <c r="E5" s="9">
        <v>6000</v>
      </c>
      <c r="F5" s="9">
        <v>300</v>
      </c>
      <c r="G5" s="39">
        <f t="shared" si="0"/>
        <v>300</v>
      </c>
      <c r="H5" s="38">
        <f t="shared" si="1"/>
        <v>0.18000180001800017</v>
      </c>
      <c r="I5" s="20">
        <v>3</v>
      </c>
      <c r="J5" s="20">
        <v>1</v>
      </c>
      <c r="K5" s="41">
        <f t="shared" si="2"/>
        <v>2</v>
      </c>
      <c r="L5" s="8">
        <v>0.95</v>
      </c>
      <c r="M5" s="41" t="e">
        <f ca="1">IF(A5="","",SUMPRODUCT(--(_xludf.POISSON.DIST($A$20:$AO$20+K5,H5,TRUE)&lt;L5)))</f>
        <v>#NAME?</v>
      </c>
      <c r="N5" s="14" t="s">
        <v>231</v>
      </c>
      <c r="O5" s="12"/>
    </row>
    <row r="6" spans="1:15" x14ac:dyDescent="0.25">
      <c r="A6" s="12" t="s">
        <v>234</v>
      </c>
      <c r="B6" s="20">
        <v>20</v>
      </c>
      <c r="C6" s="9">
        <v>43800</v>
      </c>
      <c r="D6" s="14" t="s">
        <v>230</v>
      </c>
      <c r="E6" s="9">
        <v>48</v>
      </c>
      <c r="F6" s="9">
        <v>0</v>
      </c>
      <c r="G6" s="39">
        <f t="shared" si="0"/>
        <v>48</v>
      </c>
      <c r="H6" s="38">
        <f t="shared" si="1"/>
        <v>2.1917808219178082E-2</v>
      </c>
      <c r="I6" s="20">
        <v>2</v>
      </c>
      <c r="J6" s="20">
        <v>1</v>
      </c>
      <c r="K6" s="41">
        <f t="shared" si="2"/>
        <v>1</v>
      </c>
      <c r="L6" s="8">
        <v>0.95</v>
      </c>
      <c r="M6" s="41" t="e">
        <f ca="1">IF(A6="","",SUMPRODUCT(--(_xludf.POISSON.DIST($A$20:$AO$20+K6,H6,TRUE)&lt;L6)))</f>
        <v>#NAME?</v>
      </c>
      <c r="N6" s="14" t="s">
        <v>235</v>
      </c>
      <c r="O6" s="12"/>
    </row>
    <row r="7" spans="1:15" x14ac:dyDescent="0.25">
      <c r="A7" s="12"/>
      <c r="B7" s="20"/>
      <c r="C7" s="9"/>
      <c r="D7" s="14"/>
      <c r="E7" s="9"/>
      <c r="F7" s="9"/>
      <c r="G7" s="39" t="str">
        <f t="shared" si="0"/>
        <v/>
      </c>
      <c r="H7" s="38" t="str">
        <f t="shared" si="1"/>
        <v/>
      </c>
      <c r="I7" s="20"/>
      <c r="J7" s="20"/>
      <c r="K7" s="41" t="str">
        <f t="shared" si="2"/>
        <v/>
      </c>
      <c r="L7" s="8"/>
      <c r="M7" s="41" t="str">
        <f>IF(A7="","",SUMPRODUCT(--(_xludf.POISSON.DIST($A$20:$AO$20+K7,H7,TRUE)&lt;L7)))</f>
        <v/>
      </c>
      <c r="N7" s="14"/>
      <c r="O7" s="12"/>
    </row>
    <row r="8" spans="1:15" x14ac:dyDescent="0.25">
      <c r="A8" s="12"/>
      <c r="B8" s="20"/>
      <c r="C8" s="9"/>
      <c r="D8" s="14"/>
      <c r="E8" s="9"/>
      <c r="F8" s="9"/>
      <c r="G8" s="39" t="str">
        <f t="shared" si="0"/>
        <v/>
      </c>
      <c r="H8" s="38" t="str">
        <f t="shared" si="1"/>
        <v/>
      </c>
      <c r="I8" s="20"/>
      <c r="J8" s="20"/>
      <c r="K8" s="41" t="str">
        <f t="shared" si="2"/>
        <v/>
      </c>
      <c r="L8" s="8"/>
      <c r="M8" s="41" t="str">
        <f>IF(A8="","",SUMPRODUCT(--(_xludf.POISSON.DIST($A$20:$AO$20+K8,H8,TRUE)&lt;L8)))</f>
        <v/>
      </c>
      <c r="N8" s="14"/>
      <c r="O8" s="12"/>
    </row>
    <row r="9" spans="1:15" x14ac:dyDescent="0.25">
      <c r="A9" s="12"/>
      <c r="B9" s="20"/>
      <c r="C9" s="9"/>
      <c r="D9" s="14"/>
      <c r="E9" s="9"/>
      <c r="F9" s="9"/>
      <c r="G9" s="39" t="str">
        <f t="shared" si="0"/>
        <v/>
      </c>
      <c r="H9" s="38" t="str">
        <f t="shared" si="1"/>
        <v/>
      </c>
      <c r="I9" s="20"/>
      <c r="J9" s="20"/>
      <c r="K9" s="41" t="str">
        <f t="shared" si="2"/>
        <v/>
      </c>
      <c r="L9" s="8"/>
      <c r="M9" s="41" t="str">
        <f>IF(A9="","",SUMPRODUCT(--(_xludf.POISSON.DIST($A$20:$AO$20+K9,H9,TRUE)&lt;L9)))</f>
        <v/>
      </c>
      <c r="N9" s="14"/>
      <c r="O9" s="12"/>
    </row>
    <row r="10" spans="1:15" x14ac:dyDescent="0.25">
      <c r="A10" s="12"/>
      <c r="B10" s="20"/>
      <c r="C10" s="9"/>
      <c r="D10" s="14"/>
      <c r="E10" s="9"/>
      <c r="F10" s="9"/>
      <c r="G10" s="39" t="str">
        <f t="shared" si="0"/>
        <v/>
      </c>
      <c r="H10" s="38" t="str">
        <f t="shared" si="1"/>
        <v/>
      </c>
      <c r="I10" s="20"/>
      <c r="J10" s="20"/>
      <c r="K10" s="41" t="str">
        <f t="shared" si="2"/>
        <v/>
      </c>
      <c r="L10" s="8"/>
      <c r="M10" s="41" t="str">
        <f>IF(A10="","",SUMPRODUCT(--(_xludf.POISSON.DIST($A$20:$AO$20+K10,H10,TRUE)&lt;L10)))</f>
        <v/>
      </c>
      <c r="N10" s="14"/>
      <c r="O10" s="12"/>
    </row>
    <row r="11" spans="1:15" x14ac:dyDescent="0.25">
      <c r="A11" s="12"/>
      <c r="B11" s="20"/>
      <c r="C11" s="9"/>
      <c r="D11" s="14"/>
      <c r="E11" s="9"/>
      <c r="F11" s="9"/>
      <c r="G11" s="39" t="str">
        <f t="shared" si="0"/>
        <v/>
      </c>
      <c r="H11" s="38" t="str">
        <f t="shared" si="1"/>
        <v/>
      </c>
      <c r="I11" s="20"/>
      <c r="J11" s="20"/>
      <c r="K11" s="41" t="str">
        <f t="shared" si="2"/>
        <v/>
      </c>
      <c r="L11" s="8"/>
      <c r="M11" s="41" t="str">
        <f>IF(A11="","",SUMPRODUCT(--(_xludf.POISSON.DIST($A$20:$AO$20+K11,H11,TRUE)&lt;L11)))</f>
        <v/>
      </c>
      <c r="N11" s="14"/>
      <c r="O11" s="12"/>
    </row>
    <row r="12" spans="1:15" x14ac:dyDescent="0.25">
      <c r="A12" s="12"/>
      <c r="B12" s="20"/>
      <c r="C12" s="9"/>
      <c r="D12" s="14"/>
      <c r="E12" s="9"/>
      <c r="F12" s="9"/>
      <c r="G12" s="39" t="str">
        <f t="shared" si="0"/>
        <v/>
      </c>
      <c r="H12" s="38" t="str">
        <f t="shared" si="1"/>
        <v/>
      </c>
      <c r="I12" s="20"/>
      <c r="J12" s="20"/>
      <c r="K12" s="41" t="str">
        <f t="shared" si="2"/>
        <v/>
      </c>
      <c r="L12" s="8"/>
      <c r="M12" s="41" t="str">
        <f>IF(A12="","",SUMPRODUCT(--(_xludf.POISSON.DIST($A$20:$AO$20+K12,H12,TRUE)&lt;L12)))</f>
        <v/>
      </c>
      <c r="N12" s="14"/>
      <c r="O12" s="12"/>
    </row>
    <row r="13" spans="1:15" x14ac:dyDescent="0.25">
      <c r="A13" s="12"/>
      <c r="B13" s="20"/>
      <c r="C13" s="9"/>
      <c r="D13" s="14"/>
      <c r="E13" s="9"/>
      <c r="F13" s="9"/>
      <c r="G13" s="39" t="str">
        <f t="shared" si="0"/>
        <v/>
      </c>
      <c r="H13" s="38" t="str">
        <f t="shared" si="1"/>
        <v/>
      </c>
      <c r="I13" s="20"/>
      <c r="J13" s="20"/>
      <c r="K13" s="41" t="str">
        <f t="shared" si="2"/>
        <v/>
      </c>
      <c r="L13" s="8"/>
      <c r="M13" s="41" t="str">
        <f>IF(A13="","",SUMPRODUCT(--(_xludf.POISSON.DIST($A$20:$AO$20+K13,H13,TRUE)&lt;L13)))</f>
        <v/>
      </c>
      <c r="N13" s="14"/>
      <c r="O13" s="12"/>
    </row>
    <row r="14" spans="1:15" x14ac:dyDescent="0.25">
      <c r="A14" s="12"/>
      <c r="B14" s="20"/>
      <c r="C14" s="9"/>
      <c r="D14" s="14"/>
      <c r="E14" s="9"/>
      <c r="F14" s="9"/>
      <c r="G14" s="39" t="str">
        <f t="shared" si="0"/>
        <v/>
      </c>
      <c r="H14" s="38" t="str">
        <f t="shared" si="1"/>
        <v/>
      </c>
      <c r="I14" s="20"/>
      <c r="J14" s="20"/>
      <c r="K14" s="41" t="str">
        <f t="shared" si="2"/>
        <v/>
      </c>
      <c r="L14" s="8"/>
      <c r="M14" s="41" t="str">
        <f>IF(A14="","",SUMPRODUCT(--(_xludf.POISSON.DIST($A$20:$AO$20+K14,H14,TRUE)&lt;L14)))</f>
        <v/>
      </c>
      <c r="N14" s="14"/>
      <c r="O14" s="12"/>
    </row>
    <row r="15" spans="1:15" x14ac:dyDescent="0.25">
      <c r="A15" s="12"/>
      <c r="B15" s="20"/>
      <c r="C15" s="9"/>
      <c r="D15" s="14"/>
      <c r="E15" s="9"/>
      <c r="F15" s="9"/>
      <c r="G15" s="39" t="str">
        <f t="shared" si="0"/>
        <v/>
      </c>
      <c r="H15" s="38" t="str">
        <f t="shared" si="1"/>
        <v/>
      </c>
      <c r="I15" s="20"/>
      <c r="J15" s="20"/>
      <c r="K15" s="41" t="str">
        <f t="shared" si="2"/>
        <v/>
      </c>
      <c r="L15" s="8"/>
      <c r="M15" s="41" t="str">
        <f>IF(A15="","",SUMPRODUCT(--(_xludf.POISSON.DIST($A$20:$AO$20+K15,H15,TRUE)&lt;L15)))</f>
        <v/>
      </c>
      <c r="N15" s="14"/>
      <c r="O15" s="12"/>
    </row>
    <row r="16" spans="1:15" x14ac:dyDescent="0.25">
      <c r="A16" s="12"/>
      <c r="B16" s="20"/>
      <c r="C16" s="9"/>
      <c r="D16" s="14"/>
      <c r="E16" s="9"/>
      <c r="F16" s="9"/>
      <c r="G16" s="39" t="str">
        <f t="shared" si="0"/>
        <v/>
      </c>
      <c r="H16" s="38" t="str">
        <f t="shared" si="1"/>
        <v/>
      </c>
      <c r="I16" s="20"/>
      <c r="J16" s="20"/>
      <c r="K16" s="41" t="str">
        <f t="shared" si="2"/>
        <v/>
      </c>
      <c r="L16" s="8"/>
      <c r="M16" s="41" t="str">
        <f>IF(A16="","",SUMPRODUCT(--(_xludf.POISSON.DIST($A$20:$AO$20+K16,H16,TRUE)&lt;L16)))</f>
        <v/>
      </c>
      <c r="N16" s="14"/>
      <c r="O16" s="12"/>
    </row>
    <row r="19" spans="1:41" hidden="1" x14ac:dyDescent="0.25">
      <c r="A19" s="42" t="s">
        <v>236</v>
      </c>
    </row>
    <row r="20" spans="1:41" hidden="1" x14ac:dyDescent="0.25">
      <c r="A20" s="43">
        <v>0</v>
      </c>
      <c r="B20" s="43">
        <v>1</v>
      </c>
      <c r="C20" s="43">
        <v>2</v>
      </c>
      <c r="D20" s="43">
        <v>3</v>
      </c>
      <c r="E20" s="43">
        <v>4</v>
      </c>
      <c r="F20" s="43">
        <v>5</v>
      </c>
      <c r="G20" s="43">
        <v>6</v>
      </c>
      <c r="H20" s="43">
        <v>7</v>
      </c>
      <c r="I20" s="43">
        <v>8</v>
      </c>
      <c r="J20" s="43">
        <v>9</v>
      </c>
      <c r="K20" s="43">
        <v>10</v>
      </c>
      <c r="L20" s="43">
        <v>11</v>
      </c>
      <c r="M20" s="43">
        <v>12</v>
      </c>
      <c r="N20" s="43">
        <v>13</v>
      </c>
      <c r="O20" s="43">
        <v>14</v>
      </c>
      <c r="P20" s="43">
        <v>15</v>
      </c>
      <c r="Q20" s="43">
        <v>16</v>
      </c>
      <c r="R20" s="43">
        <v>17</v>
      </c>
      <c r="S20" s="43">
        <v>18</v>
      </c>
      <c r="T20" s="43">
        <v>19</v>
      </c>
      <c r="U20" s="43">
        <v>20</v>
      </c>
      <c r="V20" s="43">
        <v>21</v>
      </c>
      <c r="W20" s="43">
        <v>22</v>
      </c>
      <c r="X20" s="43">
        <v>23</v>
      </c>
      <c r="Y20" s="43">
        <v>24</v>
      </c>
      <c r="Z20" s="43">
        <v>25</v>
      </c>
      <c r="AA20" s="43">
        <v>26</v>
      </c>
      <c r="AB20" s="43">
        <v>27</v>
      </c>
      <c r="AC20" s="43">
        <v>28</v>
      </c>
      <c r="AD20" s="43">
        <v>29</v>
      </c>
      <c r="AE20" s="43">
        <v>30</v>
      </c>
      <c r="AF20" s="43">
        <v>31</v>
      </c>
      <c r="AG20" s="43">
        <v>32</v>
      </c>
      <c r="AH20" s="43">
        <v>33</v>
      </c>
      <c r="AI20" s="43">
        <v>34</v>
      </c>
      <c r="AJ20" s="43">
        <v>35</v>
      </c>
      <c r="AK20" s="43">
        <v>36</v>
      </c>
      <c r="AL20" s="43">
        <v>37</v>
      </c>
      <c r="AM20" s="43">
        <v>38</v>
      </c>
      <c r="AN20" s="43">
        <v>39</v>
      </c>
      <c r="AO20" s="43">
        <v>40</v>
      </c>
    </row>
  </sheetData>
  <mergeCells count="1">
    <mergeCell ref="A1:O1"/>
  </mergeCells>
  <conditionalFormatting sqref="N4:N16">
    <cfRule type="expression" dxfId="10" priority="1">
      <formula>N4="Alta"</formula>
    </cfRule>
    <cfRule type="expression" dxfId="9" priority="2">
      <formula>N4="Bassa"</formula>
    </cfRule>
  </conditionalFormatting>
  <dataValidations count="2">
    <dataValidation type="list" allowBlank="1" sqref="D4:D16" xr:uid="{00000000-0002-0000-0600-000000000000}">
      <formula1>"Si,No"</formula1>
    </dataValidation>
    <dataValidation type="list" allowBlank="1" sqref="N4:N16" xr:uid="{00000000-0002-0000-0600-000001000000}">
      <formula1>"Alta,Bassa"</formula1>
    </dataValidation>
  </dataValidation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9"/>
  <sheetViews>
    <sheetView showGridLines="0" workbookViewId="0"/>
  </sheetViews>
  <sheetFormatPr defaultRowHeight="15" x14ac:dyDescent="0.25"/>
  <cols>
    <col min="1" max="1" width="12" customWidth="1"/>
    <col min="2" max="2" width="18" customWidth="1"/>
    <col min="3" max="3" width="4" customWidth="1"/>
    <col min="4" max="4" width="34" customWidth="1"/>
    <col min="5" max="5" width="16" customWidth="1"/>
  </cols>
  <sheetData>
    <row r="1" spans="1:5" ht="33.950000000000003" customHeight="1" x14ac:dyDescent="0.25">
      <c r="A1" s="64" t="s">
        <v>237</v>
      </c>
      <c r="B1" s="62"/>
      <c r="C1" s="62"/>
      <c r="D1" s="62"/>
      <c r="E1" s="62"/>
    </row>
    <row r="3" spans="1:5" ht="15.75" x14ac:dyDescent="0.25">
      <c r="A3" s="44" t="s">
        <v>238</v>
      </c>
      <c r="B3" s="69" t="s">
        <v>229</v>
      </c>
      <c r="C3" s="70"/>
    </row>
    <row r="5" spans="1:5" x14ac:dyDescent="0.25">
      <c r="A5" s="7" t="s">
        <v>239</v>
      </c>
      <c r="B5" s="30">
        <f>IFERROR(INDEX(TabellaSpareParts[mu],MATCH($B$3,TabellaSpareParts[Ricambio],0)),"")</f>
        <v>3.333333333333333</v>
      </c>
    </row>
    <row r="6" spans="1:5" x14ac:dyDescent="0.25">
      <c r="A6" s="7" t="s">
        <v>240</v>
      </c>
      <c r="B6" s="33">
        <f>IFERROR(INDEX(TabellaSpareParts[Ridondanza],MATCH($B$3,TabellaSpareParts[Ricambio],0)),"")</f>
        <v>0</v>
      </c>
    </row>
    <row r="7" spans="1:5" x14ac:dyDescent="0.25">
      <c r="A7" s="7" t="s">
        <v>241</v>
      </c>
      <c r="B7" s="21">
        <f>IFERROR(INDEX(TabellaSpareParts[ServiceLevelTarget],MATCH($B$3,TabellaSpareParts[Ricambio],0)),"")</f>
        <v>0.95</v>
      </c>
    </row>
    <row r="9" spans="1:5" ht="21.95" customHeight="1" x14ac:dyDescent="0.25">
      <c r="A9" s="65" t="s">
        <v>242</v>
      </c>
      <c r="B9" s="62"/>
      <c r="C9" s="62"/>
      <c r="D9" s="62"/>
      <c r="E9" s="62"/>
    </row>
    <row r="10" spans="1:5" x14ac:dyDescent="0.25">
      <c r="A10" s="17" t="s">
        <v>243</v>
      </c>
      <c r="B10" s="17" t="s">
        <v>244</v>
      </c>
    </row>
    <row r="11" spans="1:5" x14ac:dyDescent="0.25">
      <c r="A11" s="18">
        <v>0</v>
      </c>
      <c r="B11" s="45" t="e">
        <f ca="1">_xludf.POISSON.DIST(A11+$B$6,$B$5,TRUE)</f>
        <v>#NAME?</v>
      </c>
    </row>
    <row r="12" spans="1:5" x14ac:dyDescent="0.25">
      <c r="A12" s="18">
        <v>1</v>
      </c>
      <c r="B12" s="45" t="e">
        <f ca="1">_xludf.POISSON.DIST(A12+$B$6,$B$5,TRUE)</f>
        <v>#NAME?</v>
      </c>
    </row>
    <row r="13" spans="1:5" x14ac:dyDescent="0.25">
      <c r="A13" s="18">
        <v>2</v>
      </c>
      <c r="B13" s="45" t="e">
        <f ca="1">_xludf.POISSON.DIST(A13+$B$6,$B$5,TRUE)</f>
        <v>#NAME?</v>
      </c>
    </row>
    <row r="14" spans="1:5" x14ac:dyDescent="0.25">
      <c r="A14" s="18">
        <v>3</v>
      </c>
      <c r="B14" s="45" t="e">
        <f ca="1">_xludf.POISSON.DIST(A14+$B$6,$B$5,TRUE)</f>
        <v>#NAME?</v>
      </c>
    </row>
    <row r="15" spans="1:5" x14ac:dyDescent="0.25">
      <c r="A15" s="18">
        <v>4</v>
      </c>
      <c r="B15" s="45" t="e">
        <f ca="1">_xludf.POISSON.DIST(A15+$B$6,$B$5,TRUE)</f>
        <v>#NAME?</v>
      </c>
    </row>
    <row r="16" spans="1:5" x14ac:dyDescent="0.25">
      <c r="A16" s="18">
        <v>5</v>
      </c>
      <c r="B16" s="45" t="e">
        <f ca="1">_xludf.POISSON.DIST(A16+$B$6,$B$5,TRUE)</f>
        <v>#NAME?</v>
      </c>
    </row>
    <row r="17" spans="1:2" x14ac:dyDescent="0.25">
      <c r="A17" s="18">
        <v>6</v>
      </c>
      <c r="B17" s="45" t="e">
        <f ca="1">_xludf.POISSON.DIST(A17+$B$6,$B$5,TRUE)</f>
        <v>#NAME?</v>
      </c>
    </row>
    <row r="18" spans="1:2" x14ac:dyDescent="0.25">
      <c r="A18" s="18">
        <v>7</v>
      </c>
      <c r="B18" s="45" t="e">
        <f ca="1">_xludf.POISSON.DIST(A18+$B$6,$B$5,TRUE)</f>
        <v>#NAME?</v>
      </c>
    </row>
    <row r="19" spans="1:2" x14ac:dyDescent="0.25">
      <c r="A19" s="18">
        <v>8</v>
      </c>
      <c r="B19" s="45" t="e">
        <f ca="1">_xludf.POISSON.DIST(A19+$B$6,$B$5,TRUE)</f>
        <v>#NAME?</v>
      </c>
    </row>
    <row r="20" spans="1:2" x14ac:dyDescent="0.25">
      <c r="A20" s="18">
        <v>9</v>
      </c>
      <c r="B20" s="45" t="e">
        <f ca="1">_xludf.POISSON.DIST(A20+$B$6,$B$5,TRUE)</f>
        <v>#NAME?</v>
      </c>
    </row>
    <row r="21" spans="1:2" x14ac:dyDescent="0.25">
      <c r="A21" s="18">
        <v>10</v>
      </c>
      <c r="B21" s="45" t="e">
        <f ca="1">_xludf.POISSON.DIST(A21+$B$6,$B$5,TRUE)</f>
        <v>#NAME?</v>
      </c>
    </row>
    <row r="22" spans="1:2" x14ac:dyDescent="0.25">
      <c r="A22" s="18">
        <v>11</v>
      </c>
      <c r="B22" s="45" t="e">
        <f ca="1">_xludf.POISSON.DIST(A22+$B$6,$B$5,TRUE)</f>
        <v>#NAME?</v>
      </c>
    </row>
    <row r="23" spans="1:2" x14ac:dyDescent="0.25">
      <c r="A23" s="18">
        <v>12</v>
      </c>
      <c r="B23" s="45" t="e">
        <f ca="1">_xludf.POISSON.DIST(A23+$B$6,$B$5,TRUE)</f>
        <v>#NAME?</v>
      </c>
    </row>
    <row r="24" spans="1:2" x14ac:dyDescent="0.25">
      <c r="A24" s="18">
        <v>13</v>
      </c>
      <c r="B24" s="45" t="e">
        <f ca="1">_xludf.POISSON.DIST(A24+$B$6,$B$5,TRUE)</f>
        <v>#NAME?</v>
      </c>
    </row>
    <row r="25" spans="1:2" x14ac:dyDescent="0.25">
      <c r="A25" s="18">
        <v>14</v>
      </c>
      <c r="B25" s="45" t="e">
        <f ca="1">_xludf.POISSON.DIST(A25+$B$6,$B$5,TRUE)</f>
        <v>#NAME?</v>
      </c>
    </row>
    <row r="26" spans="1:2" x14ac:dyDescent="0.25">
      <c r="A26" s="18">
        <v>15</v>
      </c>
      <c r="B26" s="45" t="e">
        <f ca="1">_xludf.POISSON.DIST(A26+$B$6,$B$5,TRUE)</f>
        <v>#NAME?</v>
      </c>
    </row>
    <row r="27" spans="1:2" x14ac:dyDescent="0.25">
      <c r="A27" s="18">
        <v>16</v>
      </c>
      <c r="B27" s="45" t="e">
        <f ca="1">_xludf.POISSON.DIST(A27+$B$6,$B$5,TRUE)</f>
        <v>#NAME?</v>
      </c>
    </row>
    <row r="28" spans="1:2" x14ac:dyDescent="0.25">
      <c r="A28" s="18">
        <v>17</v>
      </c>
      <c r="B28" s="45" t="e">
        <f ca="1">_xludf.POISSON.DIST(A28+$B$6,$B$5,TRUE)</f>
        <v>#NAME?</v>
      </c>
    </row>
    <row r="29" spans="1:2" x14ac:dyDescent="0.25">
      <c r="A29" s="18">
        <v>18</v>
      </c>
      <c r="B29" s="45" t="e">
        <f ca="1">_xludf.POISSON.DIST(A29+$B$6,$B$5,TRUE)</f>
        <v>#NAME?</v>
      </c>
    </row>
    <row r="30" spans="1:2" x14ac:dyDescent="0.25">
      <c r="A30" s="18">
        <v>19</v>
      </c>
      <c r="B30" s="45" t="e">
        <f ca="1">_xludf.POISSON.DIST(A30+$B$6,$B$5,TRUE)</f>
        <v>#NAME?</v>
      </c>
    </row>
    <row r="31" spans="1:2" x14ac:dyDescent="0.25">
      <c r="A31" s="18">
        <v>20</v>
      </c>
      <c r="B31" s="45" t="e">
        <f ca="1">_xludf.POISSON.DIST(A31+$B$6,$B$5,TRUE)</f>
        <v>#NAME?</v>
      </c>
    </row>
    <row r="33" spans="1:5" x14ac:dyDescent="0.25">
      <c r="A33" s="7" t="s">
        <v>245</v>
      </c>
      <c r="B33" s="33" t="e">
        <f ca="1">SUMPRODUCT(--(B11:B31&lt;$B$7))</f>
        <v>#NAME?</v>
      </c>
    </row>
    <row r="35" spans="1:5" ht="21.95" customHeight="1" x14ac:dyDescent="0.25">
      <c r="A35" s="65" t="s">
        <v>246</v>
      </c>
      <c r="B35" s="62"/>
      <c r="C35" s="62"/>
      <c r="D35" s="62"/>
      <c r="E35" s="62"/>
    </row>
    <row r="36" spans="1:5" x14ac:dyDescent="0.25">
      <c r="A36" s="7" t="s">
        <v>247</v>
      </c>
      <c r="B36" s="16">
        <f>Parametri!$B$10</f>
        <v>1.65</v>
      </c>
    </row>
    <row r="37" spans="1:5" x14ac:dyDescent="0.25">
      <c r="A37" s="7" t="s">
        <v>248</v>
      </c>
      <c r="B37" s="10">
        <v>1.2</v>
      </c>
    </row>
    <row r="38" spans="1:5" x14ac:dyDescent="0.25">
      <c r="A38" s="7" t="s">
        <v>249</v>
      </c>
      <c r="B38" s="9">
        <v>500</v>
      </c>
    </row>
    <row r="39" spans="1:5" x14ac:dyDescent="0.25">
      <c r="A39" s="7" t="s">
        <v>250</v>
      </c>
      <c r="B39" s="16">
        <f>B36*B37*SQRT(B38)</f>
        <v>44.274145954495836</v>
      </c>
    </row>
  </sheetData>
  <mergeCells count="4">
    <mergeCell ref="B3:C3"/>
    <mergeCell ref="A1:E1"/>
    <mergeCell ref="A9:E9"/>
    <mergeCell ref="A35:E35"/>
  </mergeCells>
  <conditionalFormatting sqref="B11:B31">
    <cfRule type="expression" dxfId="8" priority="1">
      <formula>AND(B11&gt;=$B$7,OFFSET(B11,-1,0)&lt;$B$7)</formula>
    </cfRule>
    <cfRule type="cellIs" dxfId="7" priority="2" operator="greaterThanOrEqual">
      <formula>$B$7</formula>
    </cfRule>
  </conditionalFormatting>
  <pageMargins left="0.75" right="0.75" top="1" bottom="1" header="0.5" footer="0.5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700-000000000000}">
          <x14:formula1>
            <xm:f>'Spare Parts - Dimensionamento'!$A$4:$A$16</xm:f>
          </x14:formula1>
          <xm:sqref>B3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6"/>
  <sheetViews>
    <sheetView showGridLines="0" workbookViewId="0"/>
  </sheetViews>
  <sheetFormatPr defaultRowHeight="15" x14ac:dyDescent="0.25"/>
  <cols>
    <col min="1" max="1" width="50" customWidth="1"/>
    <col min="2" max="2" width="16" customWidth="1"/>
    <col min="3" max="3" width="8" customWidth="1"/>
    <col min="4" max="4" width="40" customWidth="1"/>
  </cols>
  <sheetData>
    <row r="1" spans="1:4" ht="33.950000000000003" customHeight="1" x14ac:dyDescent="0.25">
      <c r="A1" s="64" t="s">
        <v>251</v>
      </c>
      <c r="B1" s="62"/>
      <c r="C1" s="62"/>
      <c r="D1" s="62"/>
    </row>
    <row r="3" spans="1:4" ht="21.95" customHeight="1" x14ac:dyDescent="0.25">
      <c r="A3" s="65" t="s">
        <v>252</v>
      </c>
      <c r="B3" s="62"/>
      <c r="C3" s="62"/>
      <c r="D3" s="62"/>
    </row>
    <row r="4" spans="1:4" x14ac:dyDescent="0.25">
      <c r="A4" s="7" t="s">
        <v>253</v>
      </c>
      <c r="B4" s="13">
        <v>4000</v>
      </c>
    </row>
    <row r="5" spans="1:4" x14ac:dyDescent="0.25">
      <c r="A5" s="7" t="s">
        <v>254</v>
      </c>
      <c r="B5" s="8">
        <v>0.08</v>
      </c>
    </row>
    <row r="6" spans="1:4" x14ac:dyDescent="0.25">
      <c r="A6" s="7" t="s">
        <v>255</v>
      </c>
      <c r="B6" s="13">
        <v>100</v>
      </c>
    </row>
    <row r="7" spans="1:4" x14ac:dyDescent="0.25">
      <c r="A7" s="7" t="s">
        <v>256</v>
      </c>
      <c r="B7" s="23">
        <f>B4*B5+B6</f>
        <v>420</v>
      </c>
    </row>
    <row r="8" spans="1:4" x14ac:dyDescent="0.25">
      <c r="A8" s="7" t="s">
        <v>257</v>
      </c>
      <c r="B8" s="8">
        <v>0.15</v>
      </c>
    </row>
    <row r="9" spans="1:4" x14ac:dyDescent="0.25">
      <c r="A9" s="7" t="s">
        <v>258</v>
      </c>
      <c r="B9" s="13">
        <v>6000</v>
      </c>
    </row>
    <row r="10" spans="1:4" x14ac:dyDescent="0.25">
      <c r="A10" s="7" t="s">
        <v>259</v>
      </c>
      <c r="B10" s="23">
        <f>B8*B9</f>
        <v>900</v>
      </c>
    </row>
    <row r="11" spans="1:4" x14ac:dyDescent="0.25">
      <c r="A11" s="7" t="s">
        <v>260</v>
      </c>
      <c r="B11" s="46" t="str">
        <f>IF(B10&gt;B7,"Si, conviene","No, non conviene")</f>
        <v>Si, conviene</v>
      </c>
    </row>
    <row r="13" spans="1:4" ht="21.95" customHeight="1" x14ac:dyDescent="0.25">
      <c r="A13" s="65" t="s">
        <v>261</v>
      </c>
      <c r="B13" s="62"/>
      <c r="C13" s="62"/>
      <c r="D13" s="62"/>
    </row>
    <row r="14" spans="1:4" x14ac:dyDescent="0.25">
      <c r="A14" s="7" t="s">
        <v>262</v>
      </c>
      <c r="B14" s="13">
        <v>2000</v>
      </c>
    </row>
    <row r="15" spans="1:4" x14ac:dyDescent="0.25">
      <c r="A15" s="7" t="s">
        <v>263</v>
      </c>
      <c r="B15" s="9">
        <v>8</v>
      </c>
    </row>
    <row r="16" spans="1:4" x14ac:dyDescent="0.25">
      <c r="A16" s="7" t="s">
        <v>264</v>
      </c>
      <c r="B16" s="13">
        <v>6000</v>
      </c>
    </row>
    <row r="17" spans="1:4" x14ac:dyDescent="0.25">
      <c r="A17" s="7" t="s">
        <v>265</v>
      </c>
      <c r="B17" s="9">
        <v>2</v>
      </c>
    </row>
    <row r="18" spans="1:4" x14ac:dyDescent="0.25">
      <c r="A18" s="7" t="s">
        <v>266</v>
      </c>
      <c r="B18" s="32">
        <v>1500</v>
      </c>
    </row>
    <row r="19" spans="1:4" x14ac:dyDescent="0.25">
      <c r="A19" s="7" t="s">
        <v>267</v>
      </c>
      <c r="B19" s="23">
        <f>B14+B15*B18</f>
        <v>14000</v>
      </c>
    </row>
    <row r="20" spans="1:4" x14ac:dyDescent="0.25">
      <c r="A20" s="7" t="s">
        <v>268</v>
      </c>
      <c r="B20" s="23">
        <f>B16+B17*B18</f>
        <v>9000</v>
      </c>
    </row>
    <row r="21" spans="1:4" x14ac:dyDescent="0.25">
      <c r="A21" s="7" t="s">
        <v>269</v>
      </c>
      <c r="B21" s="46" t="str">
        <f>IF(B19&lt;B20,"Riparare","Sostituire")</f>
        <v>Sostituire</v>
      </c>
    </row>
    <row r="23" spans="1:4" ht="21.95" customHeight="1" x14ac:dyDescent="0.25">
      <c r="A23" s="65" t="s">
        <v>270</v>
      </c>
      <c r="B23" s="62"/>
      <c r="C23" s="62"/>
      <c r="D23" s="62"/>
    </row>
    <row r="24" spans="1:4" x14ac:dyDescent="0.25">
      <c r="A24" s="7" t="s">
        <v>271</v>
      </c>
      <c r="B24" s="20">
        <v>6</v>
      </c>
    </row>
    <row r="25" spans="1:4" x14ac:dyDescent="0.25">
      <c r="A25" s="7" t="s">
        <v>272</v>
      </c>
      <c r="B25" s="13">
        <v>4000</v>
      </c>
    </row>
    <row r="26" spans="1:4" x14ac:dyDescent="0.25">
      <c r="A26" s="7" t="s">
        <v>273</v>
      </c>
      <c r="B26" s="20">
        <v>8</v>
      </c>
    </row>
    <row r="27" spans="1:4" x14ac:dyDescent="0.25">
      <c r="A27" s="7" t="s">
        <v>274</v>
      </c>
      <c r="B27" s="47">
        <v>0.375</v>
      </c>
    </row>
    <row r="28" spans="1:4" x14ac:dyDescent="0.25">
      <c r="A28" s="7" t="s">
        <v>275</v>
      </c>
      <c r="B28" s="8">
        <v>0.12</v>
      </c>
    </row>
    <row r="29" spans="1:4" x14ac:dyDescent="0.25">
      <c r="A29" s="7" t="s">
        <v>276</v>
      </c>
      <c r="B29" s="13">
        <v>4000</v>
      </c>
    </row>
    <row r="30" spans="1:4" x14ac:dyDescent="0.25">
      <c r="A30" s="7" t="s">
        <v>277</v>
      </c>
      <c r="B30" s="8">
        <v>0.15</v>
      </c>
    </row>
    <row r="31" spans="1:4" x14ac:dyDescent="0.25">
      <c r="A31" s="7" t="s">
        <v>278</v>
      </c>
      <c r="B31" s="13">
        <v>50</v>
      </c>
    </row>
    <row r="32" spans="1:4" x14ac:dyDescent="0.25">
      <c r="A32" s="7" t="s">
        <v>279</v>
      </c>
      <c r="B32" s="8">
        <v>1.1499999999999999</v>
      </c>
    </row>
    <row r="33" spans="1:2" x14ac:dyDescent="0.25">
      <c r="A33" s="7" t="s">
        <v>280</v>
      </c>
      <c r="B33" s="10">
        <v>1</v>
      </c>
    </row>
    <row r="34" spans="1:2" x14ac:dyDescent="0.25">
      <c r="A34" s="7" t="s">
        <v>281</v>
      </c>
      <c r="B34" s="20">
        <v>0</v>
      </c>
    </row>
    <row r="35" spans="1:2" x14ac:dyDescent="0.25">
      <c r="A35" s="7" t="s">
        <v>266</v>
      </c>
      <c r="B35" s="32">
        <v>600</v>
      </c>
    </row>
    <row r="36" spans="1:2" x14ac:dyDescent="0.25">
      <c r="A36" s="7" t="s">
        <v>282</v>
      </c>
      <c r="B36" s="29">
        <f>Parametri!$B$6</f>
        <v>8760</v>
      </c>
    </row>
    <row r="38" spans="1:2" x14ac:dyDescent="0.25">
      <c r="A38" s="7" t="s">
        <v>283</v>
      </c>
      <c r="B38" s="48">
        <f>IF(B24&lt;=B27*B26,B24^2/(2*B27),B24*B26-B27*B26^2/2)</f>
        <v>36</v>
      </c>
    </row>
    <row r="39" spans="1:2" x14ac:dyDescent="0.25">
      <c r="A39" s="7" t="s">
        <v>284</v>
      </c>
      <c r="B39" s="23">
        <f>B24*B25+B28*B25*B38+B29*MAX(0,B24-B27*B26)</f>
        <v>53280</v>
      </c>
    </row>
    <row r="40" spans="1:2" x14ac:dyDescent="0.25">
      <c r="A40" s="7" t="s">
        <v>285</v>
      </c>
      <c r="B40" s="23">
        <f>B31*B24*B26+B27*B26*B25*(1+B30)</f>
        <v>16199.999999999998</v>
      </c>
    </row>
    <row r="41" spans="1:2" x14ac:dyDescent="0.25">
      <c r="A41" s="7" t="s">
        <v>286</v>
      </c>
      <c r="B41" s="30">
        <f>B27*B33</f>
        <v>0.375</v>
      </c>
    </row>
    <row r="42" spans="1:2" x14ac:dyDescent="0.25">
      <c r="A42" s="7" t="s">
        <v>287</v>
      </c>
      <c r="B42" s="31" t="e">
        <f ca="1">1-_xludf.POISSON.DIST(B34,B41,TRUE)</f>
        <v>#NAME?</v>
      </c>
    </row>
    <row r="43" spans="1:2" x14ac:dyDescent="0.25">
      <c r="A43" s="7" t="s">
        <v>288</v>
      </c>
      <c r="B43" s="23" t="e">
        <f ca="1">B27*B26*B25*B32+B26*B42*B35*B36</f>
        <v>#NAME?</v>
      </c>
    </row>
    <row r="45" spans="1:2" x14ac:dyDescent="0.25">
      <c r="A45" s="7" t="s">
        <v>289</v>
      </c>
      <c r="B45" s="21">
        <f>IFERROR((B39-B31*B24*B26)/(B27*B26*B25)-1,"")</f>
        <v>3.24</v>
      </c>
    </row>
    <row r="46" spans="1:2" x14ac:dyDescent="0.25">
      <c r="A46" s="7" t="s">
        <v>290</v>
      </c>
      <c r="B46" s="46" t="e">
        <f ca="1">IF(AND(B39&lt;=B40,B39&lt;=B43),"Capex",IF(B40&lt;=B43,"Opex a consumo","Opex puro"))</f>
        <v>#NAME?</v>
      </c>
    </row>
  </sheetData>
  <mergeCells count="4">
    <mergeCell ref="A1:D1"/>
    <mergeCell ref="A13:D13"/>
    <mergeCell ref="A3:D3"/>
    <mergeCell ref="A23:D23"/>
  </mergeCells>
  <conditionalFormatting sqref="B11">
    <cfRule type="expression" dxfId="6" priority="1">
      <formula>LEFT(B11,2)="Si"</formula>
    </cfRule>
    <cfRule type="expression" dxfId="5" priority="2">
      <formula>LEFT(B11,2)="No"</formula>
    </cfRule>
  </conditionalFormatting>
  <conditionalFormatting sqref="B21">
    <cfRule type="expression" dxfId="4" priority="3">
      <formula>B21="Riparare"</formula>
    </cfRule>
    <cfRule type="expression" dxfId="3" priority="4">
      <formula>B21="Sostituire"</formula>
    </cfRule>
  </conditionalFormatting>
  <conditionalFormatting sqref="B46">
    <cfRule type="expression" dxfId="2" priority="5">
      <formula>B46="Capex"</formula>
    </cfRule>
    <cfRule type="expression" dxfId="1" priority="6">
      <formula>B46="Opex a consumo"</formula>
    </cfRule>
    <cfRule type="expression" dxfId="0" priority="7">
      <formula>B46="Opex puro"</formula>
    </cfRule>
  </conditionalFormatting>
  <pageMargins left="0.75" right="0.75" top="1" bottom="1" header="0.5" footer="0.5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44"/>
  <sheetViews>
    <sheetView showGridLines="0" workbookViewId="0"/>
  </sheetViews>
  <sheetFormatPr defaultRowHeight="15" x14ac:dyDescent="0.25"/>
  <cols>
    <col min="1" max="1" width="16" customWidth="1"/>
    <col min="2" max="2" width="64" customWidth="1"/>
    <col min="3" max="3" width="12" customWidth="1"/>
  </cols>
  <sheetData>
    <row r="1" spans="1:3" ht="33.950000000000003" customHeight="1" x14ac:dyDescent="0.25">
      <c r="A1" s="64" t="s">
        <v>20</v>
      </c>
      <c r="B1" s="62"/>
      <c r="C1" s="62"/>
    </row>
    <row r="2" spans="1:3" ht="18" customHeight="1" x14ac:dyDescent="0.25">
      <c r="A2" s="63" t="s">
        <v>291</v>
      </c>
      <c r="B2" s="62"/>
      <c r="C2" s="62"/>
    </row>
    <row r="3" spans="1:3" x14ac:dyDescent="0.25">
      <c r="A3" s="49" t="s">
        <v>292</v>
      </c>
      <c r="B3" s="49" t="s">
        <v>293</v>
      </c>
      <c r="C3" s="49" t="s">
        <v>294</v>
      </c>
    </row>
    <row r="4" spans="1:3" ht="26.1" customHeight="1" x14ac:dyDescent="0.25">
      <c r="A4" s="3" t="s">
        <v>295</v>
      </c>
      <c r="B4" s="1" t="s">
        <v>296</v>
      </c>
      <c r="C4" s="1" t="s">
        <v>297</v>
      </c>
    </row>
    <row r="5" spans="1:3" ht="26.1" customHeight="1" x14ac:dyDescent="0.25">
      <c r="A5" s="3" t="s">
        <v>298</v>
      </c>
      <c r="B5" s="1" t="s">
        <v>299</v>
      </c>
      <c r="C5" s="1" t="s">
        <v>300</v>
      </c>
    </row>
    <row r="6" spans="1:3" ht="26.1" customHeight="1" x14ac:dyDescent="0.25">
      <c r="A6" s="3" t="s">
        <v>301</v>
      </c>
      <c r="B6" s="1" t="s">
        <v>302</v>
      </c>
      <c r="C6" s="1" t="s">
        <v>303</v>
      </c>
    </row>
    <row r="7" spans="1:3" ht="26.1" customHeight="1" x14ac:dyDescent="0.25">
      <c r="A7" s="3" t="s">
        <v>304</v>
      </c>
      <c r="B7" s="1" t="s">
        <v>305</v>
      </c>
      <c r="C7" s="1" t="s">
        <v>303</v>
      </c>
    </row>
    <row r="8" spans="1:3" ht="26.1" customHeight="1" x14ac:dyDescent="0.25">
      <c r="A8" s="3" t="s">
        <v>306</v>
      </c>
      <c r="B8" s="1" t="s">
        <v>307</v>
      </c>
      <c r="C8" s="1" t="s">
        <v>303</v>
      </c>
    </row>
    <row r="9" spans="1:3" ht="26.1" customHeight="1" x14ac:dyDescent="0.25">
      <c r="A9" s="3" t="s">
        <v>308</v>
      </c>
      <c r="B9" s="1" t="s">
        <v>309</v>
      </c>
      <c r="C9" s="1" t="s">
        <v>310</v>
      </c>
    </row>
    <row r="10" spans="1:3" ht="26.1" customHeight="1" x14ac:dyDescent="0.25">
      <c r="A10" s="3" t="s">
        <v>98</v>
      </c>
      <c r="B10" s="1" t="s">
        <v>311</v>
      </c>
      <c r="C10" s="1" t="s">
        <v>312</v>
      </c>
    </row>
    <row r="11" spans="1:3" ht="26.1" customHeight="1" x14ac:dyDescent="0.25">
      <c r="A11" s="3" t="s">
        <v>313</v>
      </c>
      <c r="B11" s="1" t="s">
        <v>314</v>
      </c>
      <c r="C11" s="1" t="s">
        <v>312</v>
      </c>
    </row>
    <row r="12" spans="1:3" ht="26.1" customHeight="1" x14ac:dyDescent="0.25">
      <c r="A12" s="3" t="s">
        <v>315</v>
      </c>
      <c r="B12" s="1" t="s">
        <v>316</v>
      </c>
      <c r="C12" s="1" t="s">
        <v>317</v>
      </c>
    </row>
    <row r="13" spans="1:3" ht="26.1" customHeight="1" x14ac:dyDescent="0.25">
      <c r="A13" s="3" t="s">
        <v>318</v>
      </c>
      <c r="B13" s="1" t="s">
        <v>319</v>
      </c>
      <c r="C13" s="1" t="s">
        <v>320</v>
      </c>
    </row>
    <row r="14" spans="1:3" ht="26.1" customHeight="1" x14ac:dyDescent="0.25">
      <c r="A14" s="3" t="s">
        <v>321</v>
      </c>
      <c r="B14" s="1" t="s">
        <v>322</v>
      </c>
      <c r="C14" s="1" t="s">
        <v>323</v>
      </c>
    </row>
    <row r="15" spans="1:3" ht="26.1" customHeight="1" x14ac:dyDescent="0.25">
      <c r="A15" s="3" t="s">
        <v>324</v>
      </c>
      <c r="B15" s="1" t="s">
        <v>325</v>
      </c>
      <c r="C15" s="1" t="s">
        <v>323</v>
      </c>
    </row>
    <row r="16" spans="1:3" ht="26.1" customHeight="1" x14ac:dyDescent="0.25">
      <c r="A16" s="3" t="s">
        <v>326</v>
      </c>
      <c r="B16" s="1" t="s">
        <v>327</v>
      </c>
      <c r="C16" s="1" t="s">
        <v>323</v>
      </c>
    </row>
    <row r="17" spans="1:3" ht="26.1" customHeight="1" x14ac:dyDescent="0.25">
      <c r="A17" s="3" t="s">
        <v>328</v>
      </c>
      <c r="B17" s="1" t="s">
        <v>329</v>
      </c>
      <c r="C17" s="1" t="s">
        <v>323</v>
      </c>
    </row>
    <row r="18" spans="1:3" ht="26.1" customHeight="1" x14ac:dyDescent="0.25">
      <c r="A18" s="3" t="s">
        <v>330</v>
      </c>
      <c r="B18" s="1" t="s">
        <v>331</v>
      </c>
      <c r="C18" s="1" t="s">
        <v>332</v>
      </c>
    </row>
    <row r="19" spans="1:3" ht="26.1" customHeight="1" x14ac:dyDescent="0.25">
      <c r="A19" s="3" t="s">
        <v>333</v>
      </c>
      <c r="B19" s="1" t="s">
        <v>334</v>
      </c>
      <c r="C19" s="1" t="s">
        <v>323</v>
      </c>
    </row>
    <row r="20" spans="1:3" ht="26.1" customHeight="1" x14ac:dyDescent="0.25">
      <c r="A20" s="3" t="s">
        <v>335</v>
      </c>
      <c r="B20" s="1" t="s">
        <v>336</v>
      </c>
      <c r="C20" s="1" t="s">
        <v>323</v>
      </c>
    </row>
    <row r="21" spans="1:3" ht="26.1" customHeight="1" x14ac:dyDescent="0.25">
      <c r="A21" s="3" t="s">
        <v>337</v>
      </c>
      <c r="B21" s="1" t="s">
        <v>338</v>
      </c>
      <c r="C21" s="1" t="s">
        <v>323</v>
      </c>
    </row>
    <row r="22" spans="1:3" ht="26.1" customHeight="1" x14ac:dyDescent="0.25">
      <c r="A22" s="3" t="s">
        <v>339</v>
      </c>
      <c r="B22" s="1" t="s">
        <v>340</v>
      </c>
      <c r="C22" s="1" t="s">
        <v>341</v>
      </c>
    </row>
    <row r="23" spans="1:3" ht="26.1" customHeight="1" x14ac:dyDescent="0.25">
      <c r="A23" s="3" t="s">
        <v>342</v>
      </c>
      <c r="B23" s="1" t="s">
        <v>343</v>
      </c>
      <c r="C23" s="1" t="s">
        <v>341</v>
      </c>
    </row>
    <row r="24" spans="1:3" ht="26.1" customHeight="1" x14ac:dyDescent="0.25">
      <c r="A24" s="3" t="s">
        <v>344</v>
      </c>
      <c r="B24" s="1" t="s">
        <v>345</v>
      </c>
      <c r="C24" s="1" t="s">
        <v>346</v>
      </c>
    </row>
    <row r="25" spans="1:3" ht="26.1" customHeight="1" x14ac:dyDescent="0.25">
      <c r="A25" s="3" t="s">
        <v>347</v>
      </c>
      <c r="B25" s="1" t="s">
        <v>348</v>
      </c>
      <c r="C25" s="1" t="s">
        <v>346</v>
      </c>
    </row>
    <row r="26" spans="1:3" ht="26.1" customHeight="1" x14ac:dyDescent="0.25">
      <c r="A26" s="3" t="s">
        <v>219</v>
      </c>
      <c r="B26" s="1" t="s">
        <v>349</v>
      </c>
      <c r="C26" s="1" t="s">
        <v>350</v>
      </c>
    </row>
    <row r="27" spans="1:3" ht="26.1" customHeight="1" x14ac:dyDescent="0.25">
      <c r="A27" s="3" t="s">
        <v>351</v>
      </c>
      <c r="B27" s="1" t="s">
        <v>352</v>
      </c>
      <c r="C27" s="1" t="s">
        <v>350</v>
      </c>
    </row>
    <row r="28" spans="1:3" ht="26.1" customHeight="1" x14ac:dyDescent="0.25">
      <c r="A28" s="3" t="s">
        <v>353</v>
      </c>
      <c r="B28" s="1" t="s">
        <v>354</v>
      </c>
      <c r="C28" s="1" t="s">
        <v>355</v>
      </c>
    </row>
    <row r="29" spans="1:3" ht="26.1" customHeight="1" x14ac:dyDescent="0.25">
      <c r="A29" s="3" t="s">
        <v>356</v>
      </c>
      <c r="B29" s="1" t="s">
        <v>357</v>
      </c>
      <c r="C29" s="1" t="s">
        <v>350</v>
      </c>
    </row>
    <row r="30" spans="1:3" ht="26.1" customHeight="1" x14ac:dyDescent="0.25">
      <c r="A30" s="3" t="s">
        <v>358</v>
      </c>
      <c r="B30" s="1" t="s">
        <v>359</v>
      </c>
      <c r="C30" s="1" t="s">
        <v>350</v>
      </c>
    </row>
    <row r="31" spans="1:3" ht="26.1" customHeight="1" x14ac:dyDescent="0.25">
      <c r="A31" s="3" t="s">
        <v>250</v>
      </c>
      <c r="B31" s="1" t="s">
        <v>360</v>
      </c>
      <c r="C31" s="1" t="s">
        <v>361</v>
      </c>
    </row>
    <row r="32" spans="1:3" ht="26.1" customHeight="1" x14ac:dyDescent="0.25">
      <c r="A32" s="3" t="s">
        <v>362</v>
      </c>
      <c r="B32" s="1" t="s">
        <v>363</v>
      </c>
      <c r="C32" s="1" t="s">
        <v>364</v>
      </c>
    </row>
    <row r="33" spans="1:3" ht="26.1" customHeight="1" x14ac:dyDescent="0.25">
      <c r="A33" s="3" t="s">
        <v>365</v>
      </c>
      <c r="B33" s="1" t="s">
        <v>366</v>
      </c>
      <c r="C33" s="1" t="s">
        <v>367</v>
      </c>
    </row>
    <row r="34" spans="1:3" ht="26.1" customHeight="1" x14ac:dyDescent="0.25">
      <c r="A34" s="3" t="s">
        <v>368</v>
      </c>
      <c r="B34" s="1" t="s">
        <v>369</v>
      </c>
      <c r="C34" s="1" t="s">
        <v>370</v>
      </c>
    </row>
    <row r="35" spans="1:3" ht="26.1" customHeight="1" x14ac:dyDescent="0.25">
      <c r="A35" s="3" t="s">
        <v>371</v>
      </c>
      <c r="B35" s="1" t="s">
        <v>372</v>
      </c>
      <c r="C35" s="1" t="s">
        <v>370</v>
      </c>
    </row>
    <row r="36" spans="1:3" ht="30" x14ac:dyDescent="0.25">
      <c r="A36" s="3" t="s">
        <v>373</v>
      </c>
      <c r="B36" s="1" t="s">
        <v>374</v>
      </c>
      <c r="C36" s="1" t="s">
        <v>375</v>
      </c>
    </row>
    <row r="37" spans="1:3" ht="30" x14ac:dyDescent="0.25">
      <c r="A37" s="3" t="s">
        <v>376</v>
      </c>
      <c r="B37" s="1" t="s">
        <v>377</v>
      </c>
      <c r="C37" s="1" t="s">
        <v>375</v>
      </c>
    </row>
    <row r="38" spans="1:3" ht="30" x14ac:dyDescent="0.25">
      <c r="A38" s="3" t="s">
        <v>378</v>
      </c>
      <c r="B38" s="1" t="s">
        <v>379</v>
      </c>
      <c r="C38" s="1" t="s">
        <v>380</v>
      </c>
    </row>
    <row r="39" spans="1:3" ht="30" x14ac:dyDescent="0.25">
      <c r="A39" s="3" t="s">
        <v>381</v>
      </c>
      <c r="B39" s="1" t="s">
        <v>382</v>
      </c>
      <c r="C39" s="1" t="s">
        <v>383</v>
      </c>
    </row>
    <row r="40" spans="1:3" ht="30" x14ac:dyDescent="0.25">
      <c r="A40" s="3" t="s">
        <v>384</v>
      </c>
      <c r="B40" s="1" t="s">
        <v>385</v>
      </c>
      <c r="C40" s="1" t="s">
        <v>383</v>
      </c>
    </row>
    <row r="41" spans="1:3" ht="30" x14ac:dyDescent="0.25">
      <c r="A41" s="3" t="s">
        <v>386</v>
      </c>
      <c r="B41" s="1" t="s">
        <v>387</v>
      </c>
      <c r="C41" s="1" t="s">
        <v>383</v>
      </c>
    </row>
    <row r="42" spans="1:3" ht="30" x14ac:dyDescent="0.25">
      <c r="A42" s="3" t="s">
        <v>388</v>
      </c>
      <c r="B42" s="1" t="s">
        <v>389</v>
      </c>
      <c r="C42" s="1" t="s">
        <v>390</v>
      </c>
    </row>
    <row r="43" spans="1:3" x14ac:dyDescent="0.25">
      <c r="A43" s="3" t="s">
        <v>391</v>
      </c>
      <c r="B43" s="1" t="s">
        <v>392</v>
      </c>
      <c r="C43" s="1" t="s">
        <v>390</v>
      </c>
    </row>
    <row r="44" spans="1:3" ht="30" x14ac:dyDescent="0.25">
      <c r="A44" s="3" t="s">
        <v>393</v>
      </c>
      <c r="B44" s="1" t="s">
        <v>394</v>
      </c>
      <c r="C44" s="1" t="s">
        <v>390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Guida</vt:lpstr>
      <vt:lpstr>Parametri</vt:lpstr>
      <vt:lpstr>TCO e Investimento</vt:lpstr>
      <vt:lpstr>Affidabilita e Fermo</vt:lpstr>
      <vt:lpstr>Sostituzione Ottimale</vt:lpstr>
      <vt:lpstr>Affidabilità Avanzata</vt:lpstr>
      <vt:lpstr>Spare Parts - Dimensionamento</vt:lpstr>
      <vt:lpstr>Spare Parts - Service Level</vt:lpstr>
      <vt:lpstr>Spare Parts - Economia</vt:lpstr>
      <vt:lpstr>Glossario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Rocco Pietroni</cp:lastModifiedBy>
  <dcterms:created xsi:type="dcterms:W3CDTF">2026-09-13T14:39:26Z</dcterms:created>
  <dcterms:modified xsi:type="dcterms:W3CDTF">2026-09-22T12:10:06Z</dcterms:modified>
</cp:coreProperties>
</file>